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defaultThemeVersion="166925"/>
  <xr:revisionPtr revIDLastSave="0" documentId="13_ncr:1_{FBDC26FE-7264-4F55-A595-E2B2E596DECA}" xr6:coauthVersionLast="47" xr6:coauthVersionMax="47" xr10:uidLastSave="{00000000-0000-0000-0000-000000000000}"/>
  <bookViews>
    <workbookView xWindow="-120" yWindow="-120" windowWidth="29040" windowHeight="15720" xr2:uid="{594E1934-88AA-41C3-8EB3-AA3F4703756A}"/>
  </bookViews>
  <sheets>
    <sheet name="Question 1" sheetId="1" r:id="rId1"/>
    <sheet name="Question 2" sheetId="3" r:id="rId2"/>
    <sheet name="Question 3 (if needed)" sheetId="5" r:id="rId3"/>
    <sheet name="Question 4" sheetId="7"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4" i="1" l="1"/>
  <c r="E14" i="1"/>
  <c r="BG46" i="7"/>
  <c r="AB46" i="7"/>
  <c r="K46" i="7"/>
  <c r="BG45" i="7"/>
  <c r="AB45" i="7"/>
  <c r="K45" i="7"/>
  <c r="BG44" i="7"/>
  <c r="AB44" i="7"/>
  <c r="K44" i="7"/>
  <c r="BG43" i="7"/>
  <c r="AB43" i="7"/>
  <c r="K43" i="7"/>
  <c r="BG41" i="7"/>
  <c r="BL41" i="7" s="1"/>
  <c r="BG40" i="7"/>
  <c r="BL40" i="7" s="1"/>
  <c r="BG39" i="7"/>
  <c r="BL39" i="7" s="1"/>
  <c r="BG38" i="7"/>
  <c r="BL38" i="7" s="1"/>
  <c r="BG36" i="7"/>
  <c r="BL36" i="7" s="1"/>
  <c r="BG35" i="7"/>
  <c r="BL35" i="7" s="1"/>
  <c r="BG34" i="7"/>
  <c r="BL34" i="7" s="1"/>
  <c r="BG33" i="7"/>
  <c r="BL33" i="7" s="1"/>
  <c r="BK31" i="7"/>
  <c r="Q31" i="7"/>
  <c r="P31" i="7"/>
  <c r="N31" i="7"/>
  <c r="BK30" i="7"/>
  <c r="U30" i="7"/>
  <c r="BL30" i="7" s="1"/>
  <c r="BK29" i="7"/>
  <c r="U29" i="7"/>
  <c r="BK28" i="7"/>
  <c r="U28" i="7"/>
  <c r="BF26" i="7"/>
  <c r="BG26" i="7" s="1"/>
  <c r="AQ26" i="7"/>
  <c r="AW26" i="7" s="1"/>
  <c r="AL26" i="7"/>
  <c r="AO26" i="7" s="1"/>
  <c r="V26" i="7"/>
  <c r="AB26" i="7" s="1"/>
  <c r="S26" i="7"/>
  <c r="Q26" i="7"/>
  <c r="O26" i="7"/>
  <c r="H26" i="7"/>
  <c r="D26" i="7"/>
  <c r="C26" i="7"/>
  <c r="BG25" i="7"/>
  <c r="AW25" i="7"/>
  <c r="AB25" i="7"/>
  <c r="U25" i="7"/>
  <c r="K25" i="7"/>
  <c r="BG24" i="7"/>
  <c r="AW24" i="7"/>
  <c r="AB24" i="7"/>
  <c r="U24" i="7"/>
  <c r="K24" i="7"/>
  <c r="BK23" i="7"/>
  <c r="BG23" i="7"/>
  <c r="AW23" i="7"/>
  <c r="AB23" i="7"/>
  <c r="U23" i="7"/>
  <c r="K23" i="7"/>
  <c r="BK21" i="7"/>
  <c r="V21" i="7"/>
  <c r="AB21" i="7" s="1"/>
  <c r="BL21" i="7" s="1"/>
  <c r="BK20" i="7"/>
  <c r="AB20" i="7"/>
  <c r="AB19" i="7"/>
  <c r="BL19" i="7" s="1"/>
  <c r="AB18" i="7"/>
  <c r="BL18" i="7" s="1"/>
  <c r="BK16" i="7"/>
  <c r="BF16" i="7"/>
  <c r="BG16" i="7" s="1"/>
  <c r="AQ16" i="7"/>
  <c r="AW16" i="7" s="1"/>
  <c r="V16" i="7"/>
  <c r="AB16" i="7" s="1"/>
  <c r="S16" i="7"/>
  <c r="R16" i="7"/>
  <c r="O16" i="7"/>
  <c r="U16" i="7" s="1"/>
  <c r="F16" i="7"/>
  <c r="D16" i="7"/>
  <c r="C16" i="7"/>
  <c r="BK15" i="7"/>
  <c r="BG15" i="7"/>
  <c r="AW15" i="7"/>
  <c r="AB15" i="7"/>
  <c r="U15" i="7"/>
  <c r="K15" i="7"/>
  <c r="BK14" i="7"/>
  <c r="BG14" i="7"/>
  <c r="AW14" i="7"/>
  <c r="AB14" i="7"/>
  <c r="U14" i="7"/>
  <c r="K14" i="7"/>
  <c r="BK13" i="7"/>
  <c r="BG13" i="7"/>
  <c r="AW13" i="7"/>
  <c r="AB13" i="7"/>
  <c r="U13" i="7"/>
  <c r="K13" i="7"/>
  <c r="BK11" i="7"/>
  <c r="BF11" i="7"/>
  <c r="BC11" i="7"/>
  <c r="BB11" i="7"/>
  <c r="BA11" i="7"/>
  <c r="AZ11" i="7"/>
  <c r="AY11" i="7"/>
  <c r="AX11" i="7"/>
  <c r="AR11" i="7"/>
  <c r="AQ11" i="7"/>
  <c r="AL11" i="7"/>
  <c r="AO11" i="7" s="1"/>
  <c r="AD11" i="7"/>
  <c r="AH11" i="7" s="1"/>
  <c r="H11" i="7"/>
  <c r="F11" i="7"/>
  <c r="C11" i="7"/>
  <c r="BK10" i="7"/>
  <c r="BG10" i="7"/>
  <c r="AW10" i="7"/>
  <c r="AO10" i="7"/>
  <c r="AH10" i="7"/>
  <c r="K10" i="7"/>
  <c r="BK9" i="7"/>
  <c r="BG9" i="7"/>
  <c r="AW9" i="7"/>
  <c r="AO9" i="7"/>
  <c r="AH9" i="7"/>
  <c r="K9" i="7"/>
  <c r="BK8" i="7"/>
  <c r="BG8" i="7"/>
  <c r="AW8" i="7"/>
  <c r="AO8" i="7"/>
  <c r="AH8" i="7"/>
  <c r="K8" i="7"/>
  <c r="I10" i="5"/>
  <c r="H10" i="5"/>
  <c r="G10" i="5"/>
  <c r="F10" i="5"/>
  <c r="I7" i="5"/>
  <c r="H7" i="5"/>
  <c r="F7" i="5"/>
  <c r="H98" i="3"/>
  <c r="H92" i="3"/>
  <c r="H89" i="3"/>
  <c r="H88" i="3"/>
  <c r="H87" i="3"/>
  <c r="H85" i="3"/>
  <c r="H84" i="3"/>
  <c r="H80" i="3"/>
  <c r="H70" i="3"/>
  <c r="H64" i="3"/>
  <c r="H54" i="3"/>
  <c r="H50" i="3"/>
  <c r="H47" i="3"/>
  <c r="H39" i="3"/>
  <c r="G36" i="3"/>
  <c r="G35" i="3"/>
  <c r="G34" i="3"/>
  <c r="H32" i="3"/>
  <c r="H31" i="3"/>
  <c r="G31" i="3"/>
  <c r="E31" i="3"/>
  <c r="G30" i="3"/>
  <c r="G19" i="3"/>
  <c r="F10" i="1"/>
  <c r="E10" i="1"/>
  <c r="D10" i="1"/>
  <c r="C10" i="1"/>
  <c r="BL44" i="7" l="1"/>
  <c r="AW11" i="7"/>
  <c r="BL20" i="7"/>
  <c r="K26" i="7"/>
  <c r="BL15" i="7"/>
  <c r="BL9" i="7"/>
  <c r="U26" i="7"/>
  <c r="BL23" i="7"/>
  <c r="K16" i="7"/>
  <c r="BL28" i="7"/>
  <c r="BL46" i="7"/>
  <c r="BL10" i="7"/>
  <c r="BG11" i="7"/>
  <c r="BL16" i="7"/>
  <c r="BL26" i="7"/>
  <c r="BL13" i="7"/>
  <c r="K11" i="7"/>
  <c r="BL11" i="7" s="1"/>
  <c r="BL24" i="7"/>
  <c r="BL8" i="7"/>
  <c r="C14" i="1" s="1"/>
  <c r="BL29" i="7"/>
  <c r="U31" i="7"/>
  <c r="BL31" i="7" s="1"/>
  <c r="BL45" i="7"/>
  <c r="BL14" i="7"/>
  <c r="BL25" i="7"/>
  <c r="BL43" i="7"/>
  <c r="D14" i="1" l="1"/>
</calcChain>
</file>

<file path=xl/sharedStrings.xml><?xml version="1.0" encoding="utf-8"?>
<sst xmlns="http://schemas.openxmlformats.org/spreadsheetml/2006/main" count="354" uniqueCount="238">
  <si>
    <t>Fiscal Year</t>
  </si>
  <si>
    <t>FY21</t>
  </si>
  <si>
    <t>FY22</t>
  </si>
  <si>
    <t>FY23</t>
  </si>
  <si>
    <t>FY24</t>
  </si>
  <si>
    <t>Total Revenues</t>
  </si>
  <si>
    <t>Question 1: General information</t>
  </si>
  <si>
    <t xml:space="preserve"> </t>
  </si>
  <si>
    <t>Ad Valorem Revenue</t>
  </si>
  <si>
    <t>Name of Ad Valorem Tax Component</t>
  </si>
  <si>
    <t>FY 21 millage rate</t>
  </si>
  <si>
    <t>FY 21 revenue</t>
  </si>
  <si>
    <t>FY 22 millage rate</t>
  </si>
  <si>
    <t>FY 22 revenue</t>
  </si>
  <si>
    <t>FY 23 millage rate</t>
  </si>
  <si>
    <t>FY 23 revenue</t>
  </si>
  <si>
    <t>FY 24 millage rate</t>
  </si>
  <si>
    <t>FY 24 revenue</t>
  </si>
  <si>
    <t>Non-Ad Valorem Revenue</t>
  </si>
  <si>
    <t>Name of Non-Ad Valorem Revenue Component</t>
  </si>
  <si>
    <t>FY21 revenue</t>
  </si>
  <si>
    <t>FY22 revenue</t>
  </si>
  <si>
    <t>FY23 revenue</t>
  </si>
  <si>
    <t>FY24 revenue</t>
  </si>
  <si>
    <t>Revenue Component</t>
  </si>
  <si>
    <t>Sub-Component</t>
  </si>
  <si>
    <t>Description</t>
  </si>
  <si>
    <t>Other Miscellaneous Revenues</t>
  </si>
  <si>
    <t>Other permits, fees, and special assessments</t>
  </si>
  <si>
    <t>Revenue Source</t>
  </si>
  <si>
    <t>Expenditure Category</t>
  </si>
  <si>
    <t>Law enforcement</t>
  </si>
  <si>
    <t>Fire Control</t>
  </si>
  <si>
    <t>Inspections</t>
  </si>
  <si>
    <t>Ambulance and Rescue</t>
  </si>
  <si>
    <t>Medical Examiner</t>
  </si>
  <si>
    <t>Consumer Affairs</t>
  </si>
  <si>
    <t>Public Safety</t>
  </si>
  <si>
    <t>Total</t>
  </si>
  <si>
    <t>Electric Utility</t>
  </si>
  <si>
    <t>Gas utility</t>
  </si>
  <si>
    <t>Water utility</t>
  </si>
  <si>
    <t>Water/Sewer Combination</t>
  </si>
  <si>
    <t>Conservation and Resource Management</t>
  </si>
  <si>
    <t>Flood Control</t>
  </si>
  <si>
    <t>Other</t>
  </si>
  <si>
    <t>Physical Environment</t>
  </si>
  <si>
    <t>Road and Street Facilities</t>
  </si>
  <si>
    <t>Airports</t>
  </si>
  <si>
    <t>Water Transportation</t>
  </si>
  <si>
    <t>Mass Transit</t>
  </si>
  <si>
    <t>Parking</t>
  </si>
  <si>
    <t>Transportation</t>
  </si>
  <si>
    <t>Employment Opportunity and Development</t>
  </si>
  <si>
    <t>Industry Development</t>
  </si>
  <si>
    <t>Veterans' Services</t>
  </si>
  <si>
    <t>Housing and Urban Development</t>
  </si>
  <si>
    <t>Hospital Services</t>
  </si>
  <si>
    <t>Health Services</t>
  </si>
  <si>
    <t>Mental Health Services</t>
  </si>
  <si>
    <t>Public Assistance Services</t>
  </si>
  <si>
    <t>Developmental Disabilities Services</t>
  </si>
  <si>
    <t>Libraries</t>
  </si>
  <si>
    <t>Parks and Recreation</t>
  </si>
  <si>
    <t>Cultural Services</t>
  </si>
  <si>
    <t>Special Events</t>
  </si>
  <si>
    <t>Special Recreational Facilities</t>
  </si>
  <si>
    <t>Charter Schools</t>
  </si>
  <si>
    <t>Legislative</t>
  </si>
  <si>
    <t>Executive</t>
  </si>
  <si>
    <t>Financial and Administrative</t>
  </si>
  <si>
    <t>Legal Counsel</t>
  </si>
  <si>
    <t>Comprehensive Planning</t>
  </si>
  <si>
    <t>Non-Court Information Systems</t>
  </si>
  <si>
    <t>Debt Service Payments</t>
  </si>
  <si>
    <t>Pension Benefits</t>
  </si>
  <si>
    <t>Intergovernmental Transfers</t>
  </si>
  <si>
    <t>Reserves</t>
  </si>
  <si>
    <t>Detention/ Correction</t>
  </si>
  <si>
    <t>Emergency and Disaster Relief</t>
  </si>
  <si>
    <t>Garbage/ Waste Control</t>
  </si>
  <si>
    <t>Sewer/ Wastewater</t>
  </si>
  <si>
    <t>Economic Environment</t>
  </si>
  <si>
    <t>Human Services</t>
  </si>
  <si>
    <t>Culture/Recreation</t>
  </si>
  <si>
    <t>General Government</t>
  </si>
  <si>
    <t>Expenditure Sub-Category</t>
  </si>
  <si>
    <t>Total Expenditures (Actual)</t>
  </si>
  <si>
    <t>Total Budget (As adopted)*</t>
  </si>
  <si>
    <t>*Excludes Transfers</t>
  </si>
  <si>
    <t>Municipal population</t>
  </si>
  <si>
    <t>City of North Port</t>
  </si>
  <si>
    <t>City of North Port, FL</t>
  </si>
  <si>
    <t>County Ninth-Cent Voted Fuel Tax</t>
  </si>
  <si>
    <t>(1 To 6 Cents Local Option Fuel Tax)</t>
  </si>
  <si>
    <t>Second Local Option Fuel Tax (1 To 5 Cents Local Option Fuel Tax)</t>
  </si>
  <si>
    <t>Insurance Premium Tax For Firefighters' Pension</t>
  </si>
  <si>
    <t>Casualty Insurance Premium Tax For Police Officers' Retirement</t>
  </si>
  <si>
    <t>Local Government Infrastructure Surtax</t>
  </si>
  <si>
    <t>Utility Service Tax - Electricity</t>
  </si>
  <si>
    <t>Local Communications Services Tax</t>
  </si>
  <si>
    <t>Local Business Tax</t>
  </si>
  <si>
    <t>Building Permits</t>
  </si>
  <si>
    <t>Permits - other</t>
  </si>
  <si>
    <t>Franchise Fee - Electricity</t>
  </si>
  <si>
    <t>Franchise Fee - Gas</t>
  </si>
  <si>
    <t>Impact Fees - Residential - Public Safety</t>
  </si>
  <si>
    <t>Impact Fees - Commercial - Public Safety</t>
  </si>
  <si>
    <t>Impact Fees - Residential - Physical Environment</t>
  </si>
  <si>
    <t>Impact Fees - Commercial - Physical Environment</t>
  </si>
  <si>
    <t>Impact Fees - Residential - Transportation</t>
  </si>
  <si>
    <t>Impact Fees - Commercial - Transportation</t>
  </si>
  <si>
    <t>Impact Fees - Residential - Culture/Recreation</t>
  </si>
  <si>
    <t>Impact Fees - Commercial - Culture/Recreation</t>
  </si>
  <si>
    <t>Impact Fees - Residential - Other</t>
  </si>
  <si>
    <t>Impact Fees - Commercial - Other</t>
  </si>
  <si>
    <t>Special Assessments - Capital Improvement</t>
  </si>
  <si>
    <t>Inspection Fee</t>
  </si>
  <si>
    <t>Other Permits, Fees And Special Assessments</t>
  </si>
  <si>
    <t>Federal Grant - Public Safety</t>
  </si>
  <si>
    <t>Federal Grant - Water Supply System</t>
  </si>
  <si>
    <t>Federal Grant - Other Transportation</t>
  </si>
  <si>
    <t>Federal Grant - Sewer/Wastewater</t>
  </si>
  <si>
    <t>Federal Grant - Other Physical Environment</t>
  </si>
  <si>
    <t>Federal Grant - Economic Environment</t>
  </si>
  <si>
    <t>Federal Grant - Other Human Services</t>
  </si>
  <si>
    <t>Federal Grant - Culture/Recreation</t>
  </si>
  <si>
    <t>Other Financial Assistance - Federal Source</t>
  </si>
  <si>
    <t>State Grant - Public Safety</t>
  </si>
  <si>
    <t>State Grant - General Government</t>
  </si>
  <si>
    <t>State Grant - Other Physical Environment</t>
  </si>
  <si>
    <t>State Grant - Economic Environment</t>
  </si>
  <si>
    <t>Municipal Revenue Sharing Program - Proceeds</t>
  </si>
  <si>
    <t>State Revenue Sharing - Mobile Home Licenses</t>
  </si>
  <si>
    <t>State Revenue Sharing - Alcoholic Beverage Licenses</t>
  </si>
  <si>
    <t>State Revenue Sharing - Local Government Half-Cent Sales Tax Program</t>
  </si>
  <si>
    <t>State Revenue Sharing - Firefighter Supplemental Compensation</t>
  </si>
  <si>
    <t>Local Government Unit Grant - Public Safety</t>
  </si>
  <si>
    <t>Local Government Unit Grant - Physical Environment</t>
  </si>
  <si>
    <t>Local Government Unit Grant - Transportation</t>
  </si>
  <si>
    <t>Service Charge - Recording Fees</t>
  </si>
  <si>
    <t>Internal Service Fund Fees And Charges</t>
  </si>
  <si>
    <t>Other General Government Charges And Fees</t>
  </si>
  <si>
    <t>Service Charge - Law Enforcement Services</t>
  </si>
  <si>
    <t>Service Charge - Fire Protection</t>
  </si>
  <si>
    <t>Service Charge - Ambulance Fees</t>
  </si>
  <si>
    <t>Service Charge - Other Public Safety Charges And Fees</t>
  </si>
  <si>
    <t>Service Charge - Water Utility</t>
  </si>
  <si>
    <t>Service Charge - Garbage/Solid Waste</t>
  </si>
  <si>
    <t>Service Charge - Sewer/Wastewater Utility</t>
  </si>
  <si>
    <t>Service Charge - Water/Sewer Combination Utility</t>
  </si>
  <si>
    <t>Service Charge - Other Physical Environment Charges</t>
  </si>
  <si>
    <t>Service Charge - Other Transportation Charges</t>
  </si>
  <si>
    <t>Service Charge - Parks And Recreation</t>
  </si>
  <si>
    <t>Service Charge - Special Events</t>
  </si>
  <si>
    <t>Service Charge - Special Recreation Facilities</t>
  </si>
  <si>
    <t>Service Charge - Other Culture/Recreation Charges</t>
  </si>
  <si>
    <t>Other Charges For Services</t>
  </si>
  <si>
    <t xml:space="preserve">Judgments And Fines - As Decided By County Court </t>
  </si>
  <si>
    <t>Fines - Local Ordinance Violation</t>
  </si>
  <si>
    <t>Sale Of Contraband Property Seized By Law Enforcement</t>
  </si>
  <si>
    <t>Interest</t>
  </si>
  <si>
    <t>Net Increase (Decrease) In Fair Value Of Investments</t>
  </si>
  <si>
    <t>Rents And Royalties</t>
  </si>
  <si>
    <t>Disposition Of Fixed Assets</t>
  </si>
  <si>
    <t>Sale Of Surplus Materials And Scrap</t>
  </si>
  <si>
    <t>Contributions And Donations From Private Sources</t>
  </si>
  <si>
    <t>Pension Fund Contributions</t>
  </si>
  <si>
    <t>Settlements</t>
  </si>
  <si>
    <t>Inter-Fund Group Transfers In</t>
  </si>
  <si>
    <t>Contributions From Enterprise Operations</t>
  </si>
  <si>
    <t>Installment Purchase Proceeds</t>
  </si>
  <si>
    <t>Lease Proceeds</t>
  </si>
  <si>
    <t>Proceeds From Refunding Bonds</t>
  </si>
  <si>
    <t>Compensation For Loss Of General Capital Asset</t>
  </si>
  <si>
    <t>Proprietary - Capital Contributions From Other Public Source</t>
  </si>
  <si>
    <t>Proprietary - Non-Operating Revenue</t>
  </si>
  <si>
    <t>Investment income</t>
  </si>
  <si>
    <t>Proprietary - Other Non-Operating Revenue</t>
  </si>
  <si>
    <t>Capital contributions - capacity fees</t>
  </si>
  <si>
    <t>Water &amp; Sewer capacity fees</t>
  </si>
  <si>
    <t>Capital contributions - grants</t>
  </si>
  <si>
    <t>Water &amp; Sewer capital grants</t>
  </si>
  <si>
    <t>Capital contributions - other</t>
  </si>
  <si>
    <t>Water &amp; Sewer contributed fixed assets</t>
  </si>
  <si>
    <t>Other miscellaneous revenues</t>
  </si>
  <si>
    <t>Rebates</t>
  </si>
  <si>
    <t>Other misc revenues</t>
  </si>
  <si>
    <t>Former employees' premiums</t>
  </si>
  <si>
    <t>Medical/dental insurance premiums</t>
  </si>
  <si>
    <t xml:space="preserve">City contributions </t>
  </si>
  <si>
    <t>City contributions - dental, vision, life ins</t>
  </si>
  <si>
    <t xml:space="preserve">Employee contributions </t>
  </si>
  <si>
    <t>Ee contributions - dental, vision, life ins</t>
  </si>
  <si>
    <t>Return on investment</t>
  </si>
  <si>
    <t>Return on Utilities investment</t>
  </si>
  <si>
    <t>Utilities PILOT</t>
  </si>
  <si>
    <t>FL Bldg Commission surcharge</t>
  </si>
  <si>
    <t>Building code admin &amp; inspection surcharge</t>
  </si>
  <si>
    <t>Other permits and fees</t>
  </si>
  <si>
    <t>Permit reactivation fees</t>
  </si>
  <si>
    <t>Radon admin fees</t>
  </si>
  <si>
    <t>Inspection fees</t>
  </si>
  <si>
    <t>Fire inspection fees</t>
  </si>
  <si>
    <t>Principal Payment to Bond Refunding Escrow Agent</t>
  </si>
  <si>
    <t>TOTAL - ALL</t>
  </si>
  <si>
    <t xml:space="preserve">General Fund </t>
  </si>
  <si>
    <t xml:space="preserve">Special Revenue Funds </t>
  </si>
  <si>
    <t xml:space="preserve">Debt Service Fund </t>
  </si>
  <si>
    <t xml:space="preserve">Capital Project Funds </t>
  </si>
  <si>
    <t xml:space="preserve">Enterprise Fund </t>
  </si>
  <si>
    <t xml:space="preserve">Internal Service Funds </t>
  </si>
  <si>
    <t xml:space="preserve">Pension Funds </t>
  </si>
  <si>
    <t>Custodial Funds</t>
  </si>
  <si>
    <t>Gain on asset disposals</t>
  </si>
  <si>
    <t>Applicable Funds</t>
  </si>
  <si>
    <t>General Fund</t>
  </si>
  <si>
    <t>Special Revenue Funds</t>
  </si>
  <si>
    <t>General, Special Revenue &amp; Pension Trust Funds</t>
  </si>
  <si>
    <t>General &amp; Pension Trust Funds</t>
  </si>
  <si>
    <t>Capital Projects Funds</t>
  </si>
  <si>
    <t>General &amp; Special Revenue Funds</t>
  </si>
  <si>
    <t>Capital Projects &amp; Enterprise Funds</t>
  </si>
  <si>
    <t>General, Special Revenue, Debt Service &amp; Enterprise Funds</t>
  </si>
  <si>
    <t>General, Special Revenue &amp; Capital Projects Funds</t>
  </si>
  <si>
    <t>Enterprise Funds</t>
  </si>
  <si>
    <t>General, Special Revenue &amp; Enterprise Funds</t>
  </si>
  <si>
    <t>General &amp; Capital Projects Funds</t>
  </si>
  <si>
    <t>General &amp; Enterprise Funds</t>
  </si>
  <si>
    <t>Special Revenue &amp; Internal Service Funds</t>
  </si>
  <si>
    <t>All funds</t>
  </si>
  <si>
    <t>General, Special Revenue, Capital Projects, Enterprise &amp; Internal Service Funds</t>
  </si>
  <si>
    <t>General, Special Revenue, Enterprise &amp; Internal Service Funds</t>
  </si>
  <si>
    <t>Pension Trust Funds</t>
  </si>
  <si>
    <t>General , Special Revenue, Enterprise, Internal Service &amp; Custodial Funds</t>
  </si>
  <si>
    <t>General, Special Revenue &amp; Capital Projects</t>
  </si>
  <si>
    <t>Debt Service Fund</t>
  </si>
  <si>
    <t>Please note: Generally, the City does not allocate individual revenue sources to specific expenditures. Instead, revenues are deposited into the appropriate fund based on their type and any applicable legal or policy requirements. Total revenues within each fund are then allocated to various expenditure categories and sub-categories. Therefore, the expenditure categories below are presented by fund type, rather than by individual revenue source.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</si>
</sst>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_);\(&quot;$&quot;#,##0\)"/>
    <numFmt numFmtId="42" formatCode="_(&quot;$&quot;* #,##0_);_(&quot;$&quot;* \(#,##0\);_(&quot;$&quot;* &quot;-&quot;_);_(@_)"/>
    <numFmt numFmtId="44" formatCode="_(&quot;$&quot;* #,##0.00_);_(&quot;$&quot;* \(#,##0.00\);_(&quot;$&quot;* &quot;-&quot;??_);_(@_)"/>
    <numFmt numFmtId="164" formatCode="_(&quot;$&quot;* #,##0_);_(&quot;$&quot;* \(#,##0\);_(&quot;$&quot;* &quot;-&quot;??_);_(@_)"/>
  </numFmts>
  <fonts count="17" x14ac:knownFonts="1">
    <font>
      <sz val="11"/>
      <color theme="1"/>
      <name val="Calibri"/>
      <family val="2"/>
      <scheme val="minor"/>
    </font>
    <font>
      <sz val="11"/>
      <color theme="1"/>
      <name val="Calibri"/>
      <family val="2"/>
      <scheme val="minor"/>
    </font>
    <font>
      <b/>
      <sz val="11"/>
      <color rgb="FF3F3F3F"/>
      <name val="Calibri"/>
      <family val="2"/>
      <scheme val="minor"/>
    </font>
    <font>
      <b/>
      <sz val="11"/>
      <color theme="1"/>
      <name val="Calibri"/>
      <family val="2"/>
      <scheme val="minor"/>
    </font>
    <font>
      <b/>
      <sz val="14"/>
      <color rgb="FF000000"/>
      <name val="Arial"/>
      <family val="2"/>
    </font>
    <font>
      <sz val="11"/>
      <color rgb="FF000000"/>
      <name val="Calibri"/>
      <family val="2"/>
      <scheme val="minor"/>
    </font>
    <font>
      <b/>
      <sz val="11"/>
      <color rgb="FF000000"/>
      <name val="Calibri"/>
      <family val="2"/>
      <scheme val="minor"/>
    </font>
    <font>
      <b/>
      <sz val="14"/>
      <color rgb="FF000000"/>
      <name val="Calibri"/>
      <family val="2"/>
      <scheme val="minor"/>
    </font>
    <font>
      <i/>
      <sz val="11"/>
      <color theme="1"/>
      <name val="Calibri"/>
      <family val="2"/>
      <scheme val="minor"/>
    </font>
    <font>
      <u/>
      <sz val="11"/>
      <color theme="1"/>
      <name val="Calibri"/>
      <family val="2"/>
      <scheme val="minor"/>
    </font>
    <font>
      <b/>
      <sz val="14"/>
      <color theme="1"/>
      <name val="Calibri"/>
      <family val="2"/>
      <scheme val="minor"/>
    </font>
    <font>
      <b/>
      <i/>
      <sz val="11"/>
      <color theme="1"/>
      <name val="Calibri"/>
      <family val="2"/>
      <scheme val="minor"/>
    </font>
    <font>
      <i/>
      <sz val="11"/>
      <color rgb="FF000000"/>
      <name val="Calibri"/>
      <family val="2"/>
      <scheme val="minor"/>
    </font>
    <font>
      <b/>
      <sz val="11"/>
      <color rgb="FFFF0000"/>
      <name val="Calibri"/>
      <family val="2"/>
      <scheme val="minor"/>
    </font>
    <font>
      <b/>
      <u/>
      <sz val="11"/>
      <color theme="1"/>
      <name val="Calibri"/>
      <family val="2"/>
      <scheme val="minor"/>
    </font>
    <font>
      <b/>
      <u/>
      <sz val="11"/>
      <color rgb="FFFF0000"/>
      <name val="Calibri"/>
      <family val="2"/>
      <scheme val="minor"/>
    </font>
    <font>
      <b/>
      <i/>
      <sz val="14"/>
      <color theme="1"/>
      <name val="Calibri"/>
      <family val="2"/>
      <scheme val="minor"/>
    </font>
  </fonts>
  <fills count="15">
    <fill>
      <patternFill patternType="none"/>
    </fill>
    <fill>
      <patternFill patternType="gray125"/>
    </fill>
    <fill>
      <patternFill patternType="solid">
        <fgColor rgb="FFF2F2F2"/>
      </patternFill>
    </fill>
    <fill>
      <patternFill patternType="solid">
        <fgColor theme="6" tint="0.59999389629810485"/>
        <bgColor indexed="65"/>
      </patternFill>
    </fill>
    <fill>
      <patternFill patternType="solid">
        <fgColor theme="7" tint="0.59999389629810485"/>
        <bgColor indexed="65"/>
      </patternFill>
    </fill>
    <fill>
      <patternFill patternType="solid">
        <fgColor theme="6" tint="0.39997558519241921"/>
        <bgColor indexed="64"/>
      </patternFill>
    </fill>
    <fill>
      <patternFill patternType="solid">
        <fgColor theme="0" tint="-4.9989318521683403E-2"/>
        <bgColor indexed="64"/>
      </patternFill>
    </fill>
    <fill>
      <patternFill patternType="solid">
        <fgColor theme="0" tint="-0.14999847407452621"/>
        <bgColor theme="0" tint="-0.14999847407452621"/>
      </patternFill>
    </fill>
    <fill>
      <patternFill patternType="solid">
        <fgColor theme="0" tint="-0.14999847407452621"/>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2"/>
        <bgColor indexed="64"/>
      </patternFill>
    </fill>
    <fill>
      <patternFill patternType="solid">
        <fgColor theme="2"/>
        <bgColor theme="0" tint="-0.14999847407452621"/>
      </patternFill>
    </fill>
    <fill>
      <patternFill patternType="solid">
        <fgColor rgb="FFFFFF00"/>
        <bgColor indexed="64"/>
      </patternFill>
    </fill>
  </fills>
  <borders count="21">
    <border>
      <left/>
      <right/>
      <top/>
      <bottom/>
      <diagonal/>
    </border>
    <border>
      <left style="thin">
        <color rgb="FF3F3F3F"/>
      </left>
      <right style="thin">
        <color rgb="FF3F3F3F"/>
      </right>
      <top style="thin">
        <color rgb="FF3F3F3F"/>
      </top>
      <bottom style="thin">
        <color rgb="FF3F3F3F"/>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theme="1"/>
      </top>
      <bottom style="thin">
        <color theme="1"/>
      </bottom>
      <diagonal/>
    </border>
    <border>
      <left/>
      <right/>
      <top style="thin">
        <color auto="1"/>
      </top>
      <bottom style="thick">
        <color theme="4" tint="0.499984740745262"/>
      </bottom>
      <diagonal/>
    </border>
    <border>
      <left/>
      <right style="thin">
        <color auto="1"/>
      </right>
      <top style="thin">
        <color auto="1"/>
      </top>
      <bottom style="thick">
        <color theme="4" tint="0.499984740745262"/>
      </bottom>
      <diagonal/>
    </border>
    <border>
      <left style="thin">
        <color auto="1"/>
      </left>
      <right style="thin">
        <color rgb="FF3F3F3F"/>
      </right>
      <top style="thin">
        <color rgb="FF3F3F3F"/>
      </top>
      <bottom style="thin">
        <color rgb="FF3F3F3F"/>
      </bottom>
      <diagonal/>
    </border>
    <border>
      <left style="thin">
        <color rgb="FF3F3F3F"/>
      </left>
      <right style="thin">
        <color auto="1"/>
      </right>
      <top style="thin">
        <color rgb="FF3F3F3F"/>
      </top>
      <bottom style="thin">
        <color rgb="FF3F3F3F"/>
      </bottom>
      <diagonal/>
    </border>
    <border>
      <left/>
      <right style="thin">
        <color rgb="FF3F3F3F"/>
      </right>
      <top style="thin">
        <color indexed="64"/>
      </top>
      <bottom style="thin">
        <color rgb="FF3F3F3F"/>
      </bottom>
      <diagonal/>
    </border>
    <border>
      <left style="thin">
        <color rgb="FF3F3F3F"/>
      </left>
      <right style="thin">
        <color rgb="FF3F3F3F"/>
      </right>
      <top style="thin">
        <color indexed="64"/>
      </top>
      <bottom style="thin">
        <color rgb="FF3F3F3F"/>
      </bottom>
      <diagonal/>
    </border>
    <border>
      <left style="thin">
        <color auto="1"/>
      </left>
      <right style="thin">
        <color auto="1"/>
      </right>
      <top style="thin">
        <color auto="1"/>
      </top>
      <bottom/>
      <diagonal/>
    </border>
    <border>
      <left style="thin">
        <color auto="1"/>
      </left>
      <right style="thin">
        <color indexed="64"/>
      </right>
      <top/>
      <bottom/>
      <diagonal/>
    </border>
    <border>
      <left style="thin">
        <color auto="1"/>
      </left>
      <right style="thin">
        <color auto="1"/>
      </right>
      <top/>
      <bottom style="thin">
        <color auto="1"/>
      </bottom>
      <diagonal/>
    </border>
  </borders>
  <cellStyleXfs count="5">
    <xf numFmtId="0" fontId="0" fillId="0" borderId="0"/>
    <xf numFmtId="44" fontId="1" fillId="0" borderId="0" applyFont="0" applyFill="0" applyBorder="0" applyAlignment="0" applyProtection="0"/>
    <xf numFmtId="0" fontId="2" fillId="2" borderId="1" applyNumberFormat="0" applyAlignment="0" applyProtection="0"/>
    <xf numFmtId="0" fontId="1" fillId="3" borderId="0" applyNumberFormat="0" applyBorder="0" applyAlignment="0" applyProtection="0"/>
    <xf numFmtId="0" fontId="1" fillId="4" borderId="0" applyNumberFormat="0" applyBorder="0" applyAlignment="0" applyProtection="0"/>
  </cellStyleXfs>
  <cellXfs count="141">
    <xf numFmtId="0" fontId="0" fillId="0" borderId="0" xfId="0"/>
    <xf numFmtId="0" fontId="4" fillId="0" borderId="0" xfId="0" applyFont="1" applyAlignment="1">
      <alignment horizontal="center"/>
    </xf>
    <xf numFmtId="0" fontId="5" fillId="0" borderId="0" xfId="0" applyFont="1"/>
    <xf numFmtId="0" fontId="5" fillId="0" borderId="0" xfId="0" applyFont="1" applyAlignment="1">
      <alignment horizontal="center"/>
    </xf>
    <xf numFmtId="0" fontId="7" fillId="5" borderId="0" xfId="0" applyFont="1" applyFill="1" applyAlignment="1">
      <alignment horizontal="center"/>
    </xf>
    <xf numFmtId="0" fontId="0" fillId="0" borderId="6" xfId="0" applyBorder="1"/>
    <xf numFmtId="0" fontId="0" fillId="0" borderId="7" xfId="0" applyBorder="1"/>
    <xf numFmtId="0" fontId="0" fillId="0" borderId="9" xfId="0" applyBorder="1"/>
    <xf numFmtId="0" fontId="0" fillId="0" borderId="3" xfId="0" applyBorder="1"/>
    <xf numFmtId="0" fontId="6" fillId="0" borderId="0" xfId="0" applyFont="1" applyAlignment="1">
      <alignment horizontal="center"/>
    </xf>
    <xf numFmtId="0" fontId="3" fillId="0" borderId="0" xfId="0" applyFont="1"/>
    <xf numFmtId="0" fontId="8" fillId="0" borderId="0" xfId="0" applyFont="1"/>
    <xf numFmtId="0" fontId="2" fillId="2" borderId="14" xfId="2" applyBorder="1"/>
    <xf numFmtId="0" fontId="2" fillId="2" borderId="1" xfId="2"/>
    <xf numFmtId="0" fontId="2" fillId="2" borderId="15" xfId="2" applyBorder="1"/>
    <xf numFmtId="0" fontId="8" fillId="3" borderId="6" xfId="3" applyFont="1" applyBorder="1"/>
    <xf numFmtId="0" fontId="1" fillId="3" borderId="0" xfId="3" applyBorder="1"/>
    <xf numFmtId="0" fontId="8" fillId="0" borderId="6" xfId="0" applyFont="1" applyBorder="1"/>
    <xf numFmtId="0" fontId="1" fillId="3" borderId="6" xfId="3" applyBorder="1"/>
    <xf numFmtId="5" fontId="0" fillId="0" borderId="0" xfId="0" applyNumberFormat="1"/>
    <xf numFmtId="0" fontId="8" fillId="3" borderId="8" xfId="3" applyFont="1" applyBorder="1"/>
    <xf numFmtId="44" fontId="0" fillId="0" borderId="0" xfId="1" applyFont="1" applyBorder="1"/>
    <xf numFmtId="44" fontId="2" fillId="2" borderId="1" xfId="1" applyFont="1" applyFill="1" applyBorder="1"/>
    <xf numFmtId="44" fontId="2" fillId="2" borderId="15" xfId="1" applyFont="1" applyFill="1" applyBorder="1"/>
    <xf numFmtId="0" fontId="9" fillId="8" borderId="0" xfId="0" applyFont="1" applyFill="1" applyAlignment="1">
      <alignment horizontal="center" wrapText="1"/>
    </xf>
    <xf numFmtId="0" fontId="9" fillId="8" borderId="6" xfId="0" applyFont="1" applyFill="1" applyBorder="1" applyAlignment="1">
      <alignment horizontal="center" wrapText="1"/>
    </xf>
    <xf numFmtId="0" fontId="9" fillId="8" borderId="7" xfId="0" applyFont="1" applyFill="1" applyBorder="1" applyAlignment="1">
      <alignment horizontal="center" wrapText="1"/>
    </xf>
    <xf numFmtId="0" fontId="0" fillId="9" borderId="0" xfId="0" applyFill="1"/>
    <xf numFmtId="0" fontId="8" fillId="9" borderId="0" xfId="0" applyFont="1" applyFill="1"/>
    <xf numFmtId="0" fontId="3" fillId="6" borderId="0" xfId="0" applyFont="1" applyFill="1"/>
    <xf numFmtId="0" fontId="0" fillId="6" borderId="0" xfId="0" applyFill="1"/>
    <xf numFmtId="0" fontId="3" fillId="11" borderId="10" xfId="0" applyFont="1" applyFill="1" applyBorder="1" applyAlignment="1">
      <alignment horizontal="center"/>
    </xf>
    <xf numFmtId="0" fontId="0" fillId="8" borderId="0" xfId="0" applyFill="1"/>
    <xf numFmtId="0" fontId="0" fillId="8" borderId="7" xfId="0" applyFill="1" applyBorder="1"/>
    <xf numFmtId="0" fontId="5" fillId="7" borderId="11" xfId="0" applyFont="1" applyFill="1" applyBorder="1"/>
    <xf numFmtId="0" fontId="5" fillId="6" borderId="11" xfId="0" applyFont="1" applyFill="1" applyBorder="1"/>
    <xf numFmtId="0" fontId="6" fillId="7" borderId="11" xfId="0" applyFont="1" applyFill="1" applyBorder="1"/>
    <xf numFmtId="0" fontId="6" fillId="6" borderId="11" xfId="0" applyFont="1" applyFill="1" applyBorder="1"/>
    <xf numFmtId="0" fontId="3" fillId="7" borderId="11" xfId="0" applyFont="1" applyFill="1" applyBorder="1"/>
    <xf numFmtId="164" fontId="0" fillId="0" borderId="0" xfId="1" applyNumberFormat="1" applyFont="1" applyBorder="1"/>
    <xf numFmtId="164" fontId="1" fillId="3" borderId="0" xfId="1" applyNumberFormat="1" applyFill="1" applyBorder="1"/>
    <xf numFmtId="164" fontId="0" fillId="0" borderId="7" xfId="1" applyNumberFormat="1" applyFont="1" applyBorder="1"/>
    <xf numFmtId="164" fontId="1" fillId="3" borderId="7" xfId="1" applyNumberFormat="1" applyFill="1" applyBorder="1"/>
    <xf numFmtId="164" fontId="0" fillId="9" borderId="6" xfId="1" applyNumberFormat="1" applyFont="1" applyFill="1" applyBorder="1"/>
    <xf numFmtId="164" fontId="0" fillId="9" borderId="0" xfId="1" applyNumberFormat="1" applyFont="1" applyFill="1" applyBorder="1"/>
    <xf numFmtId="164" fontId="0" fillId="9" borderId="7" xfId="1" applyNumberFormat="1" applyFont="1" applyFill="1" applyBorder="1"/>
    <xf numFmtId="0" fontId="6" fillId="12" borderId="11" xfId="0" applyFont="1" applyFill="1" applyBorder="1"/>
    <xf numFmtId="0" fontId="5" fillId="12" borderId="11" xfId="0" applyFont="1" applyFill="1" applyBorder="1"/>
    <xf numFmtId="0" fontId="3" fillId="13" borderId="11" xfId="0" applyFont="1" applyFill="1" applyBorder="1"/>
    <xf numFmtId="44" fontId="0" fillId="13" borderId="11" xfId="1" applyFont="1" applyFill="1" applyBorder="1"/>
    <xf numFmtId="0" fontId="3" fillId="4" borderId="12" xfId="4" applyFont="1" applyBorder="1" applyAlignment="1">
      <alignment horizontal="center"/>
    </xf>
    <xf numFmtId="42" fontId="0" fillId="7" borderId="11" xfId="1" applyNumberFormat="1" applyFont="1" applyFill="1" applyBorder="1"/>
    <xf numFmtId="42" fontId="5" fillId="7" borderId="11" xfId="1" applyNumberFormat="1" applyFont="1" applyFill="1" applyBorder="1" applyAlignment="1">
      <alignment horizontal="center"/>
    </xf>
    <xf numFmtId="42" fontId="0" fillId="7" borderId="11" xfId="1" applyNumberFormat="1" applyFont="1" applyFill="1" applyBorder="1" applyAlignment="1">
      <alignment horizontal="center"/>
    </xf>
    <xf numFmtId="3" fontId="5" fillId="7" borderId="11" xfId="0" applyNumberFormat="1" applyFont="1" applyFill="1" applyBorder="1" applyAlignment="1">
      <alignment horizontal="right"/>
    </xf>
    <xf numFmtId="0" fontId="1" fillId="3" borderId="0" xfId="3" applyBorder="1" applyAlignment="1">
      <alignment horizontal="center"/>
    </xf>
    <xf numFmtId="42" fontId="1" fillId="3" borderId="0" xfId="1" applyNumberFormat="1" applyFill="1" applyBorder="1"/>
    <xf numFmtId="42" fontId="1" fillId="3" borderId="7" xfId="1" applyNumberFormat="1" applyFill="1" applyBorder="1"/>
    <xf numFmtId="0" fontId="3" fillId="4" borderId="13" xfId="4" applyFont="1" applyBorder="1" applyAlignment="1">
      <alignment horizontal="center"/>
    </xf>
    <xf numFmtId="0" fontId="12" fillId="0" borderId="6" xfId="0" applyFont="1" applyBorder="1"/>
    <xf numFmtId="42" fontId="0" fillId="0" borderId="0" xfId="0" applyNumberFormat="1"/>
    <xf numFmtId="42" fontId="0" fillId="0" borderId="7" xfId="0" applyNumberFormat="1" applyBorder="1"/>
    <xf numFmtId="0" fontId="12" fillId="8" borderId="6" xfId="0" applyFont="1" applyFill="1" applyBorder="1"/>
    <xf numFmtId="42" fontId="1" fillId="8" borderId="0" xfId="1" applyNumberFormat="1" applyFill="1" applyBorder="1"/>
    <xf numFmtId="42" fontId="0" fillId="0" borderId="0" xfId="1" applyNumberFormat="1" applyFont="1" applyBorder="1"/>
    <xf numFmtId="42" fontId="0" fillId="0" borderId="0" xfId="1" applyNumberFormat="1" applyFont="1" applyFill="1" applyBorder="1"/>
    <xf numFmtId="42" fontId="0" fillId="0" borderId="7" xfId="1" applyNumberFormat="1" applyFont="1" applyBorder="1"/>
    <xf numFmtId="42" fontId="1" fillId="0" borderId="0" xfId="1" applyNumberFormat="1" applyFill="1" applyBorder="1"/>
    <xf numFmtId="42" fontId="1" fillId="0" borderId="7" xfId="1" applyNumberFormat="1" applyFill="1" applyBorder="1"/>
    <xf numFmtId="42" fontId="0" fillId="8" borderId="0" xfId="1" applyNumberFormat="1" applyFont="1" applyFill="1" applyBorder="1"/>
    <xf numFmtId="42" fontId="0" fillId="8" borderId="7" xfId="1" applyNumberFormat="1" applyFont="1" applyFill="1" applyBorder="1"/>
    <xf numFmtId="42" fontId="0" fillId="0" borderId="7" xfId="1" applyNumberFormat="1" applyFont="1" applyFill="1" applyBorder="1"/>
    <xf numFmtId="42" fontId="1" fillId="8" borderId="7" xfId="1" applyNumberFormat="1" applyFill="1" applyBorder="1"/>
    <xf numFmtId="0" fontId="8" fillId="0" borderId="6" xfId="3" applyFont="1" applyFill="1" applyBorder="1"/>
    <xf numFmtId="5" fontId="8" fillId="8" borderId="6" xfId="0" applyNumberFormat="1" applyFont="1" applyFill="1" applyBorder="1"/>
    <xf numFmtId="0" fontId="12" fillId="8" borderId="8" xfId="0" applyFont="1" applyFill="1" applyBorder="1"/>
    <xf numFmtId="42" fontId="0" fillId="8" borderId="9" xfId="1" applyNumberFormat="1" applyFont="1" applyFill="1" applyBorder="1"/>
    <xf numFmtId="42" fontId="0" fillId="8" borderId="10" xfId="1" applyNumberFormat="1" applyFont="1" applyFill="1" applyBorder="1"/>
    <xf numFmtId="164" fontId="0" fillId="0" borderId="0" xfId="1" applyNumberFormat="1" applyFont="1" applyFill="1" applyBorder="1"/>
    <xf numFmtId="0" fontId="1" fillId="0" borderId="0" xfId="3" applyFill="1" applyBorder="1"/>
    <xf numFmtId="164" fontId="1" fillId="0" borderId="0" xfId="1" applyNumberFormat="1" applyFill="1" applyBorder="1"/>
    <xf numFmtId="0" fontId="8" fillId="0" borderId="8" xfId="3" applyFont="1" applyFill="1" applyBorder="1"/>
    <xf numFmtId="0" fontId="1" fillId="0" borderId="9" xfId="3" applyFill="1" applyBorder="1"/>
    <xf numFmtId="0" fontId="8" fillId="0" borderId="0" xfId="3" applyFont="1" applyFill="1" applyBorder="1"/>
    <xf numFmtId="0" fontId="2" fillId="2" borderId="2" xfId="2" applyBorder="1"/>
    <xf numFmtId="0" fontId="2" fillId="2" borderId="16" xfId="2" applyBorder="1"/>
    <xf numFmtId="0" fontId="2" fillId="2" borderId="17" xfId="2" applyBorder="1"/>
    <xf numFmtId="44" fontId="0" fillId="0" borderId="7" xfId="1" applyFont="1" applyBorder="1"/>
    <xf numFmtId="0" fontId="8" fillId="3" borderId="0" xfId="3" applyFont="1" applyBorder="1"/>
    <xf numFmtId="0" fontId="0" fillId="0" borderId="8" xfId="0" applyBorder="1"/>
    <xf numFmtId="42" fontId="0" fillId="0" borderId="9" xfId="1" applyNumberFormat="1" applyFont="1" applyBorder="1"/>
    <xf numFmtId="42" fontId="0" fillId="0" borderId="10" xfId="1" applyNumberFormat="1" applyFont="1" applyBorder="1"/>
    <xf numFmtId="0" fontId="8" fillId="8" borderId="6" xfId="0" applyFont="1" applyFill="1" applyBorder="1"/>
    <xf numFmtId="0" fontId="8" fillId="8" borderId="4" xfId="0" applyFont="1" applyFill="1" applyBorder="1"/>
    <xf numFmtId="42" fontId="0" fillId="8" borderId="4" xfId="1" applyNumberFormat="1" applyFont="1" applyFill="1" applyBorder="1"/>
    <xf numFmtId="42" fontId="0" fillId="8" borderId="5" xfId="1" applyNumberFormat="1" applyFont="1" applyFill="1" applyBorder="1"/>
    <xf numFmtId="0" fontId="8" fillId="8" borderId="0" xfId="0" applyFont="1" applyFill="1"/>
    <xf numFmtId="0" fontId="8" fillId="0" borderId="9" xfId="3" applyFont="1" applyFill="1" applyBorder="1"/>
    <xf numFmtId="42" fontId="1" fillId="0" borderId="9" xfId="1" applyNumberFormat="1" applyFill="1" applyBorder="1"/>
    <xf numFmtId="42" fontId="1" fillId="0" borderId="10" xfId="1" applyNumberFormat="1" applyFill="1" applyBorder="1"/>
    <xf numFmtId="42" fontId="1" fillId="3" borderId="9" xfId="1" applyNumberFormat="1" applyFill="1" applyBorder="1"/>
    <xf numFmtId="42" fontId="1" fillId="3" borderId="10" xfId="1" applyNumberFormat="1" applyFill="1" applyBorder="1"/>
    <xf numFmtId="0" fontId="8" fillId="3" borderId="9" xfId="3" applyFont="1" applyBorder="1"/>
    <xf numFmtId="0" fontId="3" fillId="11" borderId="9" xfId="0" applyFont="1" applyFill="1" applyBorder="1" applyAlignment="1">
      <alignment horizontal="center"/>
    </xf>
    <xf numFmtId="0" fontId="8" fillId="8" borderId="0" xfId="3" applyFont="1" applyFill="1" applyBorder="1"/>
    <xf numFmtId="0" fontId="0" fillId="6" borderId="0" xfId="0" applyFill="1" applyAlignment="1">
      <alignment horizontal="center"/>
    </xf>
    <xf numFmtId="0" fontId="13" fillId="0" borderId="0" xfId="0" applyFont="1"/>
    <xf numFmtId="0" fontId="13" fillId="6" borderId="18" xfId="0" applyFont="1" applyFill="1" applyBorder="1"/>
    <xf numFmtId="0" fontId="13" fillId="6" borderId="19" xfId="0" applyFont="1" applyFill="1" applyBorder="1"/>
    <xf numFmtId="0" fontId="11" fillId="6" borderId="0" xfId="0" applyFont="1" applyFill="1" applyAlignment="1">
      <alignment horizontal="center" vertical="center"/>
    </xf>
    <xf numFmtId="0" fontId="14" fillId="8" borderId="7" xfId="0" applyFont="1" applyFill="1" applyBorder="1" applyAlignment="1">
      <alignment horizontal="center" wrapText="1"/>
    </xf>
    <xf numFmtId="0" fontId="9" fillId="8" borderId="4" xfId="0" applyFont="1" applyFill="1" applyBorder="1" applyAlignment="1">
      <alignment horizontal="center" wrapText="1"/>
    </xf>
    <xf numFmtId="0" fontId="15" fillId="8" borderId="18" xfId="0" applyFont="1" applyFill="1" applyBorder="1" applyAlignment="1">
      <alignment horizontal="center" wrapText="1"/>
    </xf>
    <xf numFmtId="0" fontId="3" fillId="6" borderId="0" xfId="0" applyFont="1" applyFill="1" applyAlignment="1">
      <alignment horizontal="center"/>
    </xf>
    <xf numFmtId="0" fontId="13" fillId="8" borderId="19" xfId="0" applyFont="1" applyFill="1" applyBorder="1"/>
    <xf numFmtId="0" fontId="16" fillId="9" borderId="0" xfId="0" applyFont="1" applyFill="1"/>
    <xf numFmtId="0" fontId="0" fillId="9" borderId="0" xfId="0" applyFill="1" applyAlignment="1">
      <alignment horizontal="center"/>
    </xf>
    <xf numFmtId="0" fontId="13" fillId="0" borderId="19" xfId="0" applyFont="1" applyBorder="1"/>
    <xf numFmtId="0" fontId="0" fillId="0" borderId="0" xfId="0" applyAlignment="1">
      <alignment horizontal="center"/>
    </xf>
    <xf numFmtId="164" fontId="0" fillId="0" borderId="6" xfId="1" applyNumberFormat="1" applyFont="1" applyFill="1" applyBorder="1"/>
    <xf numFmtId="164" fontId="0" fillId="0" borderId="7" xfId="1" applyNumberFormat="1" applyFont="1" applyFill="1" applyBorder="1"/>
    <xf numFmtId="164" fontId="13" fillId="0" borderId="19" xfId="0" applyNumberFormat="1" applyFont="1" applyBorder="1"/>
    <xf numFmtId="164" fontId="13" fillId="9" borderId="19" xfId="0" applyNumberFormat="1" applyFont="1" applyFill="1" applyBorder="1"/>
    <xf numFmtId="0" fontId="16" fillId="0" borderId="0" xfId="0" applyFont="1"/>
    <xf numFmtId="0" fontId="13" fillId="9" borderId="19" xfId="0" applyFont="1" applyFill="1" applyBorder="1"/>
    <xf numFmtId="164" fontId="0" fillId="0" borderId="0" xfId="0" applyNumberFormat="1"/>
    <xf numFmtId="0" fontId="3" fillId="6" borderId="10" xfId="0" applyFont="1" applyFill="1" applyBorder="1" applyAlignment="1">
      <alignment horizontal="left"/>
    </xf>
    <xf numFmtId="0" fontId="5" fillId="0" borderId="0" xfId="0" applyFont="1"/>
    <xf numFmtId="0" fontId="0" fillId="14" borderId="0" xfId="0" applyFill="1" applyAlignment="1">
      <alignment horizontal="left" wrapText="1"/>
    </xf>
    <xf numFmtId="0" fontId="3" fillId="6" borderId="2" xfId="0" applyFont="1" applyFill="1" applyBorder="1" applyAlignment="1">
      <alignment horizontal="center"/>
    </xf>
    <xf numFmtId="0" fontId="3" fillId="11" borderId="2" xfId="0" applyFont="1" applyFill="1" applyBorder="1" applyAlignment="1">
      <alignment horizontal="center"/>
    </xf>
    <xf numFmtId="0" fontId="3" fillId="6" borderId="20" xfId="0" applyFont="1" applyFill="1" applyBorder="1" applyAlignment="1">
      <alignment horizontal="center"/>
    </xf>
    <xf numFmtId="0" fontId="3" fillId="11" borderId="3" xfId="0" applyFont="1" applyFill="1" applyBorder="1" applyAlignment="1">
      <alignment horizontal="center"/>
    </xf>
    <xf numFmtId="0" fontId="3" fillId="11" borderId="4" xfId="0" applyFont="1" applyFill="1" applyBorder="1" applyAlignment="1">
      <alignment horizontal="center"/>
    </xf>
    <xf numFmtId="0" fontId="3" fillId="11" borderId="5" xfId="0" applyFont="1" applyFill="1" applyBorder="1" applyAlignment="1">
      <alignment horizontal="center"/>
    </xf>
    <xf numFmtId="0" fontId="8" fillId="6" borderId="2" xfId="0" applyFont="1" applyFill="1" applyBorder="1" applyAlignment="1">
      <alignment horizontal="center" vertical="center"/>
    </xf>
    <xf numFmtId="0" fontId="8" fillId="6" borderId="18" xfId="0" applyFont="1" applyFill="1" applyBorder="1" applyAlignment="1">
      <alignment horizontal="center" vertical="center"/>
    </xf>
    <xf numFmtId="0" fontId="3" fillId="11" borderId="8" xfId="0" applyFont="1" applyFill="1" applyBorder="1" applyAlignment="1">
      <alignment horizontal="center"/>
    </xf>
    <xf numFmtId="0" fontId="3" fillId="11" borderId="9" xfId="0" applyFont="1" applyFill="1" applyBorder="1" applyAlignment="1">
      <alignment horizontal="center"/>
    </xf>
    <xf numFmtId="0" fontId="10" fillId="6" borderId="0" xfId="0" applyFont="1" applyFill="1" applyAlignment="1">
      <alignment horizontal="center"/>
    </xf>
    <xf numFmtId="0" fontId="3" fillId="10" borderId="2" xfId="0" applyFont="1" applyFill="1" applyBorder="1" applyAlignment="1">
      <alignment horizontal="center"/>
    </xf>
  </cellXfs>
  <cellStyles count="5">
    <cellStyle name="40% - Accent3" xfId="3" builtinId="39"/>
    <cellStyle name="40% - Accent4" xfId="4" builtinId="43"/>
    <cellStyle name="Currency" xfId="1" builtinId="4"/>
    <cellStyle name="Normal" xfId="0" builtinId="0"/>
    <cellStyle name="Output" xfId="2" builtinId="2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61D225-BADA-4B1C-A1EC-76E3B7B9F364}">
  <dimension ref="A1:F17"/>
  <sheetViews>
    <sheetView tabSelected="1" workbookViewId="0">
      <selection activeCell="B27" sqref="B27"/>
    </sheetView>
  </sheetViews>
  <sheetFormatPr defaultRowHeight="15" x14ac:dyDescent="0.25"/>
  <cols>
    <col min="1" max="1" width="17.42578125" bestFit="1" customWidth="1"/>
    <col min="2" max="2" width="32.5703125" customWidth="1"/>
    <col min="3" max="3" width="33.7109375" customWidth="1"/>
    <col min="4" max="4" width="28.28515625" customWidth="1"/>
    <col min="5" max="5" width="33" customWidth="1"/>
    <col min="6" max="6" width="29.85546875" customWidth="1"/>
  </cols>
  <sheetData>
    <row r="1" spans="1:6" ht="18.75" x14ac:dyDescent="0.3">
      <c r="B1" s="1"/>
      <c r="C1" s="4" t="s">
        <v>92</v>
      </c>
      <c r="D1" s="1"/>
      <c r="E1" s="1"/>
    </row>
    <row r="2" spans="1:6" x14ac:dyDescent="0.25">
      <c r="A2" s="3"/>
      <c r="B2" s="2"/>
      <c r="C2" s="2"/>
      <c r="D2" s="2"/>
      <c r="E2" s="2"/>
    </row>
    <row r="3" spans="1:6" x14ac:dyDescent="0.25">
      <c r="B3" s="9" t="s">
        <v>6</v>
      </c>
      <c r="D3" s="2"/>
    </row>
    <row r="4" spans="1:6" x14ac:dyDescent="0.25">
      <c r="A4" s="127"/>
      <c r="B4" s="127"/>
      <c r="C4" s="2"/>
      <c r="D4" s="2"/>
      <c r="E4" s="2"/>
    </row>
    <row r="6" spans="1:6" ht="15.75" thickBot="1" x14ac:dyDescent="0.3">
      <c r="B6" s="12" t="s">
        <v>0</v>
      </c>
      <c r="C6" s="50" t="s">
        <v>1</v>
      </c>
      <c r="D6" s="50" t="s">
        <v>2</v>
      </c>
      <c r="E6" s="50" t="s">
        <v>3</v>
      </c>
      <c r="F6" s="50" t="s">
        <v>4</v>
      </c>
    </row>
    <row r="7" spans="1:6" ht="15.75" thickTop="1" x14ac:dyDescent="0.25">
      <c r="B7" s="34"/>
      <c r="C7" s="34"/>
      <c r="D7" s="34"/>
      <c r="E7" s="34"/>
      <c r="F7" s="34"/>
    </row>
    <row r="8" spans="1:6" x14ac:dyDescent="0.25">
      <c r="B8" s="36" t="s">
        <v>90</v>
      </c>
      <c r="C8" s="54">
        <v>78129</v>
      </c>
      <c r="D8" s="54">
        <v>81823</v>
      </c>
      <c r="E8" s="54">
        <v>86552</v>
      </c>
      <c r="F8" s="54">
        <v>92399</v>
      </c>
    </row>
    <row r="9" spans="1:6" x14ac:dyDescent="0.25">
      <c r="B9" s="37"/>
      <c r="C9" s="35"/>
      <c r="D9" s="35"/>
      <c r="E9" s="35"/>
      <c r="F9" s="35"/>
    </row>
    <row r="10" spans="1:6" x14ac:dyDescent="0.25">
      <c r="B10" s="36" t="s">
        <v>5</v>
      </c>
      <c r="C10" s="52">
        <f>18584874+199793977</f>
        <v>218378851</v>
      </c>
      <c r="D10" s="52">
        <f>21016140+172272185</f>
        <v>193288325</v>
      </c>
      <c r="E10" s="52">
        <f>26415872+343082866</f>
        <v>369498738</v>
      </c>
      <c r="F10" s="52">
        <f>30950596+329325452</f>
        <v>360276048</v>
      </c>
    </row>
    <row r="11" spans="1:6" x14ac:dyDescent="0.25">
      <c r="B11" s="46"/>
      <c r="C11" s="47"/>
      <c r="D11" s="47"/>
      <c r="E11" s="47"/>
      <c r="F11" s="47"/>
    </row>
    <row r="12" spans="1:6" x14ac:dyDescent="0.25">
      <c r="B12" s="38" t="s">
        <v>88</v>
      </c>
      <c r="C12" s="51">
        <v>170588660</v>
      </c>
      <c r="D12" s="51">
        <v>188430630</v>
      </c>
      <c r="E12" s="51">
        <v>212298630</v>
      </c>
      <c r="F12" s="51">
        <v>244108370</v>
      </c>
    </row>
    <row r="13" spans="1:6" x14ac:dyDescent="0.25">
      <c r="B13" s="48"/>
      <c r="C13" s="49"/>
      <c r="D13" s="49"/>
      <c r="E13" s="49"/>
      <c r="F13" s="49"/>
    </row>
    <row r="14" spans="1:6" x14ac:dyDescent="0.25">
      <c r="B14" s="38" t="s">
        <v>87</v>
      </c>
      <c r="C14" s="53">
        <f>'Question 4'!BL8+'Question 4'!BL13+'Question 4'!BL18+'Question 4'!BL23+'Question 4'!BL28+'Question 4'!BL33+'Question 4'!BL38+'Question 4'!BL43</f>
        <v>162817634</v>
      </c>
      <c r="D14" s="53">
        <f>'Question 4'!BL9+'Question 4'!BL14+'Question 4'!BL19+'Question 4'!BL24+'Question 4'!BL29+'Question 4'!BL34+'Question 4'!BL39+'Question 4'!BL44</f>
        <v>182205042</v>
      </c>
      <c r="E14" s="53">
        <f>'Question 4'!BL10+'Question 4'!BL15+'Question 4'!BL20+'Question 4'!BL25+'Question 4'!BL30+'Question 4'!BL35+'Question 4'!BL40+'Question 4'!BL45</f>
        <v>289285432</v>
      </c>
      <c r="F14" s="53">
        <f>'Question 4'!BL11+'Question 4'!BL16+'Question 4'!BL21+'Question 4'!BL26+'Question 4'!BL31+'Question 4'!BL36+'Question 4'!BL41+'Question 4'!BL46</f>
        <v>263702704</v>
      </c>
    </row>
    <row r="17" spans="2:6" x14ac:dyDescent="0.25">
      <c r="B17" t="s">
        <v>89</v>
      </c>
      <c r="F17" s="60"/>
    </row>
  </sheetData>
  <mergeCells count="1">
    <mergeCell ref="A4:B4"/>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0338F4-84AC-431E-BB3F-8B24231BCE00}">
  <dimension ref="C1:L156"/>
  <sheetViews>
    <sheetView topLeftCell="C6" workbookViewId="0">
      <selection activeCell="C10" sqref="C10"/>
    </sheetView>
  </sheetViews>
  <sheetFormatPr defaultRowHeight="15" x14ac:dyDescent="0.25"/>
  <cols>
    <col min="3" max="3" width="72.42578125" bestFit="1" customWidth="1"/>
    <col min="4" max="4" width="55" customWidth="1"/>
    <col min="5" max="12" width="17.5703125" customWidth="1"/>
  </cols>
  <sheetData>
    <row r="1" spans="3:12" x14ac:dyDescent="0.25">
      <c r="D1" s="10" t="s">
        <v>8</v>
      </c>
    </row>
    <row r="2" spans="3:12" ht="15.75" thickBot="1" x14ac:dyDescent="0.3">
      <c r="D2" s="8"/>
      <c r="E2" s="50" t="s">
        <v>10</v>
      </c>
      <c r="F2" s="50" t="s">
        <v>11</v>
      </c>
      <c r="G2" s="50" t="s">
        <v>12</v>
      </c>
      <c r="H2" s="50" t="s">
        <v>13</v>
      </c>
      <c r="I2" s="50" t="s">
        <v>14</v>
      </c>
      <c r="J2" s="50" t="s">
        <v>15</v>
      </c>
      <c r="K2" s="50" t="s">
        <v>16</v>
      </c>
      <c r="L2" s="58" t="s">
        <v>17</v>
      </c>
    </row>
    <row r="3" spans="3:12" ht="15.75" thickTop="1" x14ac:dyDescent="0.25">
      <c r="C3" s="126" t="s">
        <v>215</v>
      </c>
      <c r="D3" s="12" t="s">
        <v>9</v>
      </c>
      <c r="E3" s="13"/>
      <c r="F3" s="22"/>
      <c r="G3" s="13"/>
      <c r="H3" s="22"/>
      <c r="I3" s="13"/>
      <c r="J3" s="22"/>
      <c r="K3" s="13"/>
      <c r="L3" s="23"/>
    </row>
    <row r="4" spans="3:12" x14ac:dyDescent="0.25">
      <c r="D4" s="5"/>
      <c r="F4" s="39"/>
      <c r="H4" s="39"/>
      <c r="J4" s="39"/>
      <c r="L4" s="41"/>
    </row>
    <row r="5" spans="3:12" x14ac:dyDescent="0.25">
      <c r="C5" t="s">
        <v>216</v>
      </c>
      <c r="D5" s="15" t="s">
        <v>91</v>
      </c>
      <c r="E5" s="55">
        <v>3.7667000000000002</v>
      </c>
      <c r="F5" s="56">
        <v>18584874</v>
      </c>
      <c r="G5" s="55">
        <v>3.7667000000000002</v>
      </c>
      <c r="H5" s="56">
        <v>21016140</v>
      </c>
      <c r="I5" s="55">
        <v>3.7667000000000002</v>
      </c>
      <c r="J5" s="56">
        <v>26415872</v>
      </c>
      <c r="K5" s="55">
        <v>3.7667000000000002</v>
      </c>
      <c r="L5" s="57">
        <v>30950596</v>
      </c>
    </row>
    <row r="6" spans="3:12" x14ac:dyDescent="0.25">
      <c r="D6" s="17"/>
      <c r="F6" s="39"/>
      <c r="H6" s="39"/>
      <c r="J6" s="39"/>
      <c r="L6" s="41"/>
    </row>
    <row r="7" spans="3:12" x14ac:dyDescent="0.25">
      <c r="D7" s="15"/>
      <c r="E7" s="16"/>
      <c r="F7" s="40"/>
      <c r="G7" s="16"/>
      <c r="H7" s="40"/>
      <c r="I7" s="16"/>
      <c r="J7" s="40"/>
      <c r="K7" s="16"/>
      <c r="L7" s="42"/>
    </row>
    <row r="8" spans="3:12" x14ac:dyDescent="0.25">
      <c r="D8" s="5"/>
      <c r="F8" s="39"/>
      <c r="H8" s="39"/>
      <c r="J8" s="39"/>
      <c r="L8" s="41"/>
    </row>
    <row r="9" spans="3:12" x14ac:dyDescent="0.25">
      <c r="D9" s="18"/>
      <c r="E9" s="16"/>
      <c r="F9" s="40"/>
      <c r="G9" s="16"/>
      <c r="H9" s="40"/>
      <c r="I9" s="16"/>
      <c r="J9" s="40"/>
      <c r="K9" s="16"/>
      <c r="L9" s="42"/>
    </row>
    <row r="10" spans="3:12" x14ac:dyDescent="0.25">
      <c r="D10" s="5"/>
      <c r="F10" s="39"/>
      <c r="H10" s="39"/>
      <c r="J10" s="39"/>
      <c r="L10" s="41"/>
    </row>
    <row r="13" spans="3:12" x14ac:dyDescent="0.25">
      <c r="C13" s="10"/>
      <c r="D13" s="10" t="s">
        <v>18</v>
      </c>
    </row>
    <row r="14" spans="3:12" ht="15.75" thickBot="1" x14ac:dyDescent="0.3">
      <c r="D14" s="8"/>
      <c r="E14" s="50" t="s">
        <v>20</v>
      </c>
      <c r="F14" s="50" t="s">
        <v>21</v>
      </c>
      <c r="G14" s="50" t="s">
        <v>22</v>
      </c>
      <c r="H14" s="58" t="s">
        <v>23</v>
      </c>
    </row>
    <row r="15" spans="3:12" ht="15.75" thickTop="1" x14ac:dyDescent="0.25">
      <c r="C15" s="126" t="s">
        <v>215</v>
      </c>
      <c r="D15" s="12" t="s">
        <v>19</v>
      </c>
      <c r="E15" s="13"/>
      <c r="F15" s="13"/>
      <c r="G15" s="13"/>
      <c r="H15" s="14"/>
    </row>
    <row r="16" spans="3:12" x14ac:dyDescent="0.25">
      <c r="C16" t="s">
        <v>217</v>
      </c>
      <c r="D16" s="59" t="s">
        <v>93</v>
      </c>
      <c r="E16" s="60">
        <v>319614</v>
      </c>
      <c r="F16" s="60">
        <v>338367</v>
      </c>
      <c r="G16" s="60">
        <v>354444</v>
      </c>
      <c r="H16" s="61">
        <v>367586</v>
      </c>
    </row>
    <row r="17" spans="3:8" x14ac:dyDescent="0.25">
      <c r="C17" t="s">
        <v>217</v>
      </c>
      <c r="D17" s="62" t="s">
        <v>94</v>
      </c>
      <c r="E17" s="56">
        <v>1822703</v>
      </c>
      <c r="F17" s="56">
        <v>1888862</v>
      </c>
      <c r="G17" s="63">
        <v>1999700</v>
      </c>
      <c r="H17" s="57">
        <v>2058591</v>
      </c>
    </row>
    <row r="18" spans="3:8" x14ac:dyDescent="0.25">
      <c r="C18" t="s">
        <v>217</v>
      </c>
      <c r="D18" s="59" t="s">
        <v>95</v>
      </c>
      <c r="E18" s="64">
        <v>1333337</v>
      </c>
      <c r="F18" s="64">
        <v>1374545</v>
      </c>
      <c r="G18" s="65">
        <v>1453722</v>
      </c>
      <c r="H18" s="66">
        <v>1513388</v>
      </c>
    </row>
    <row r="19" spans="3:8" x14ac:dyDescent="0.25">
      <c r="C19" t="s">
        <v>218</v>
      </c>
      <c r="D19" s="62" t="s">
        <v>96</v>
      </c>
      <c r="E19" s="56">
        <v>988592</v>
      </c>
      <c r="F19" s="56">
        <v>340754</v>
      </c>
      <c r="G19" s="63">
        <f>182236+182235</f>
        <v>364471</v>
      </c>
      <c r="H19" s="57">
        <v>448390</v>
      </c>
    </row>
    <row r="20" spans="3:8" x14ac:dyDescent="0.25">
      <c r="C20" t="s">
        <v>219</v>
      </c>
      <c r="D20" s="59" t="s">
        <v>97</v>
      </c>
      <c r="E20" s="64">
        <v>1081520</v>
      </c>
      <c r="F20" s="64">
        <v>615040</v>
      </c>
      <c r="G20" s="65">
        <v>731992</v>
      </c>
      <c r="H20" s="66">
        <v>936890</v>
      </c>
    </row>
    <row r="21" spans="3:8" x14ac:dyDescent="0.25">
      <c r="C21" t="s">
        <v>220</v>
      </c>
      <c r="D21" s="62" t="s">
        <v>98</v>
      </c>
      <c r="E21" s="56">
        <v>13137051</v>
      </c>
      <c r="F21" s="56">
        <v>16341885</v>
      </c>
      <c r="G21" s="63">
        <v>17231850</v>
      </c>
      <c r="H21" s="57">
        <v>17948932</v>
      </c>
    </row>
    <row r="22" spans="3:8" x14ac:dyDescent="0.25">
      <c r="C22" t="s">
        <v>216</v>
      </c>
      <c r="D22" s="59" t="s">
        <v>99</v>
      </c>
      <c r="E22" s="64">
        <v>1062393</v>
      </c>
      <c r="F22" s="64">
        <v>2248071</v>
      </c>
      <c r="G22" s="65">
        <v>4193302</v>
      </c>
      <c r="H22" s="66">
        <v>5945142</v>
      </c>
    </row>
    <row r="23" spans="3:8" x14ac:dyDescent="0.25">
      <c r="C23" t="s">
        <v>216</v>
      </c>
      <c r="D23" s="62" t="s">
        <v>100</v>
      </c>
      <c r="E23" s="56">
        <v>1955564</v>
      </c>
      <c r="F23" s="56">
        <v>2066189</v>
      </c>
      <c r="G23" s="63">
        <v>2192529</v>
      </c>
      <c r="H23" s="57">
        <v>2340977</v>
      </c>
    </row>
    <row r="24" spans="3:8" x14ac:dyDescent="0.25">
      <c r="C24" t="s">
        <v>216</v>
      </c>
      <c r="D24" s="59" t="s">
        <v>101</v>
      </c>
      <c r="E24" s="64">
        <v>147792</v>
      </c>
      <c r="F24" s="64">
        <v>136672</v>
      </c>
      <c r="G24" s="65">
        <v>146877</v>
      </c>
      <c r="H24" s="66">
        <v>135128</v>
      </c>
    </row>
    <row r="25" spans="3:8" x14ac:dyDescent="0.25">
      <c r="C25" t="s">
        <v>217</v>
      </c>
      <c r="D25" s="62" t="s">
        <v>102</v>
      </c>
      <c r="E25" s="56">
        <v>4122729</v>
      </c>
      <c r="F25" s="56">
        <v>5707351</v>
      </c>
      <c r="G25" s="63">
        <v>7545104</v>
      </c>
      <c r="H25" s="57">
        <v>7501000</v>
      </c>
    </row>
    <row r="26" spans="3:8" x14ac:dyDescent="0.25">
      <c r="C26" t="s">
        <v>221</v>
      </c>
      <c r="D26" s="59" t="s">
        <v>103</v>
      </c>
      <c r="E26" s="67">
        <v>114155</v>
      </c>
      <c r="F26" s="67">
        <v>0</v>
      </c>
      <c r="G26" s="67">
        <v>0</v>
      </c>
      <c r="H26" s="68">
        <v>0</v>
      </c>
    </row>
    <row r="27" spans="3:8" x14ac:dyDescent="0.25">
      <c r="C27" t="s">
        <v>216</v>
      </c>
      <c r="D27" s="62" t="s">
        <v>104</v>
      </c>
      <c r="E27" s="69">
        <v>3764730</v>
      </c>
      <c r="F27" s="69">
        <v>4526627</v>
      </c>
      <c r="G27" s="69">
        <v>5335964</v>
      </c>
      <c r="H27" s="70">
        <v>5309233</v>
      </c>
    </row>
    <row r="28" spans="3:8" x14ac:dyDescent="0.25">
      <c r="C28" t="s">
        <v>216</v>
      </c>
      <c r="D28" s="59" t="s">
        <v>105</v>
      </c>
      <c r="E28" s="67">
        <v>38336</v>
      </c>
      <c r="F28" s="67">
        <v>45203</v>
      </c>
      <c r="G28" s="67">
        <v>45361</v>
      </c>
      <c r="H28" s="68">
        <v>51894</v>
      </c>
    </row>
    <row r="29" spans="3:8" x14ac:dyDescent="0.25">
      <c r="C29" t="s">
        <v>220</v>
      </c>
      <c r="D29" s="62" t="s">
        <v>106</v>
      </c>
      <c r="E29" s="69">
        <v>891500</v>
      </c>
      <c r="F29" s="69">
        <v>883709</v>
      </c>
      <c r="G29" s="69">
        <v>1645932</v>
      </c>
      <c r="H29" s="70">
        <v>3660679</v>
      </c>
    </row>
    <row r="30" spans="3:8" x14ac:dyDescent="0.25">
      <c r="C30" t="s">
        <v>220</v>
      </c>
      <c r="D30" s="59" t="s">
        <v>107</v>
      </c>
      <c r="E30" s="67">
        <v>210380</v>
      </c>
      <c r="F30" s="67">
        <v>67790</v>
      </c>
      <c r="G30" s="67">
        <f>17560+73747+92070+19393+89395+4904+16706</f>
        <v>313775</v>
      </c>
      <c r="H30" s="68">
        <v>786899</v>
      </c>
    </row>
    <row r="31" spans="3:8" x14ac:dyDescent="0.25">
      <c r="C31" t="s">
        <v>222</v>
      </c>
      <c r="D31" s="62" t="s">
        <v>108</v>
      </c>
      <c r="E31" s="69">
        <f>305600+2019886</f>
        <v>2325486</v>
      </c>
      <c r="F31" s="69">
        <v>2996290</v>
      </c>
      <c r="G31" s="69">
        <f>541116+1315612</f>
        <v>1856728</v>
      </c>
      <c r="H31" s="70">
        <f>1086048+1575678</f>
        <v>2661726</v>
      </c>
    </row>
    <row r="32" spans="3:8" x14ac:dyDescent="0.25">
      <c r="C32" t="s">
        <v>222</v>
      </c>
      <c r="D32" s="59" t="s">
        <v>109</v>
      </c>
      <c r="E32" s="67">
        <v>514976</v>
      </c>
      <c r="F32" s="67">
        <v>496079</v>
      </c>
      <c r="G32" s="67">
        <v>675771</v>
      </c>
      <c r="H32" s="68">
        <f>283032-24510+2467672+13722+722692+4574</f>
        <v>3467182</v>
      </c>
    </row>
    <row r="33" spans="3:8" x14ac:dyDescent="0.25">
      <c r="C33" t="s">
        <v>220</v>
      </c>
      <c r="D33" s="62" t="s">
        <v>110</v>
      </c>
      <c r="E33" s="69">
        <v>4621045</v>
      </c>
      <c r="F33" s="69">
        <v>4582823</v>
      </c>
      <c r="G33" s="69">
        <v>6963161</v>
      </c>
      <c r="H33" s="70">
        <v>10348679</v>
      </c>
    </row>
    <row r="34" spans="3:8" x14ac:dyDescent="0.25">
      <c r="C34" t="s">
        <v>220</v>
      </c>
      <c r="D34" s="59" t="s">
        <v>111</v>
      </c>
      <c r="E34" s="67">
        <v>1313072</v>
      </c>
      <c r="F34" s="67">
        <v>526279</v>
      </c>
      <c r="G34" s="67">
        <f>108996+441210+513990+247357+100621+16244+87833</f>
        <v>1516251</v>
      </c>
      <c r="H34" s="68">
        <v>1906451</v>
      </c>
    </row>
    <row r="35" spans="3:8" x14ac:dyDescent="0.25">
      <c r="C35" t="s">
        <v>220</v>
      </c>
      <c r="D35" s="62" t="s">
        <v>112</v>
      </c>
      <c r="E35" s="69">
        <v>1338878</v>
      </c>
      <c r="F35" s="69">
        <v>1330310</v>
      </c>
      <c r="G35" s="69">
        <f>55316+2646102</f>
        <v>2701418</v>
      </c>
      <c r="H35" s="70">
        <v>6360154</v>
      </c>
    </row>
    <row r="36" spans="3:8" x14ac:dyDescent="0.25">
      <c r="C36" t="s">
        <v>220</v>
      </c>
      <c r="D36" s="59" t="s">
        <v>113</v>
      </c>
      <c r="E36" s="67">
        <v>148908</v>
      </c>
      <c r="F36" s="67">
        <v>48135</v>
      </c>
      <c r="G36" s="67">
        <f>8662+4629+111091</f>
        <v>124382</v>
      </c>
      <c r="H36" s="68">
        <v>17913</v>
      </c>
    </row>
    <row r="37" spans="3:8" x14ac:dyDescent="0.25">
      <c r="C37" t="s">
        <v>220</v>
      </c>
      <c r="D37" s="62" t="s">
        <v>114</v>
      </c>
      <c r="E37" s="69">
        <v>448434</v>
      </c>
      <c r="F37" s="69">
        <v>445865</v>
      </c>
      <c r="G37" s="69">
        <v>691477</v>
      </c>
      <c r="H37" s="70">
        <v>1138556</v>
      </c>
    </row>
    <row r="38" spans="3:8" x14ac:dyDescent="0.25">
      <c r="C38" t="s">
        <v>220</v>
      </c>
      <c r="D38" s="59" t="s">
        <v>115</v>
      </c>
      <c r="E38" s="67">
        <v>94359</v>
      </c>
      <c r="F38" s="67">
        <v>34232</v>
      </c>
      <c r="G38" s="67">
        <v>129003</v>
      </c>
      <c r="H38" s="68">
        <v>54826</v>
      </c>
    </row>
    <row r="39" spans="3:8" x14ac:dyDescent="0.25">
      <c r="C39" t="s">
        <v>223</v>
      </c>
      <c r="D39" s="62" t="s">
        <v>116</v>
      </c>
      <c r="E39" s="69">
        <v>3920333</v>
      </c>
      <c r="F39" s="69">
        <v>4113211</v>
      </c>
      <c r="G39" s="69">
        <v>5533965</v>
      </c>
      <c r="H39" s="70">
        <f>6309220+11868</f>
        <v>6321088</v>
      </c>
    </row>
    <row r="40" spans="3:8" x14ac:dyDescent="0.25">
      <c r="C40" t="s">
        <v>217</v>
      </c>
      <c r="D40" s="59" t="s">
        <v>117</v>
      </c>
      <c r="E40" s="67">
        <v>0</v>
      </c>
      <c r="F40" s="67">
        <v>54148</v>
      </c>
      <c r="G40" s="67">
        <v>58745</v>
      </c>
      <c r="H40" s="68">
        <v>155874</v>
      </c>
    </row>
    <row r="41" spans="3:8" x14ac:dyDescent="0.25">
      <c r="C41" t="s">
        <v>221</v>
      </c>
      <c r="D41" s="62" t="s">
        <v>118</v>
      </c>
      <c r="E41" s="69">
        <v>0</v>
      </c>
      <c r="F41" s="69">
        <v>199075</v>
      </c>
      <c r="G41" s="69">
        <v>573584</v>
      </c>
      <c r="H41" s="70">
        <v>924071</v>
      </c>
    </row>
    <row r="42" spans="3:8" x14ac:dyDescent="0.25">
      <c r="C42" t="s">
        <v>224</v>
      </c>
      <c r="D42" s="59" t="s">
        <v>119</v>
      </c>
      <c r="E42" s="67">
        <v>3052613</v>
      </c>
      <c r="F42" s="67">
        <v>308502</v>
      </c>
      <c r="G42" s="67">
        <v>102279</v>
      </c>
      <c r="H42" s="68">
        <v>667053</v>
      </c>
    </row>
    <row r="43" spans="3:8" x14ac:dyDescent="0.25">
      <c r="C43" t="s">
        <v>225</v>
      </c>
      <c r="D43" s="62" t="s">
        <v>120</v>
      </c>
      <c r="E43" s="69">
        <v>0</v>
      </c>
      <c r="F43" s="69">
        <v>0</v>
      </c>
      <c r="G43" s="69">
        <v>342209</v>
      </c>
      <c r="H43" s="70">
        <v>266191</v>
      </c>
    </row>
    <row r="44" spans="3:8" x14ac:dyDescent="0.25">
      <c r="C44" t="s">
        <v>217</v>
      </c>
      <c r="D44" s="59" t="s">
        <v>121</v>
      </c>
      <c r="E44" s="65">
        <v>709598</v>
      </c>
      <c r="F44" s="65">
        <v>0</v>
      </c>
      <c r="G44" s="65">
        <v>0</v>
      </c>
      <c r="H44" s="71">
        <v>0</v>
      </c>
    </row>
    <row r="45" spans="3:8" x14ac:dyDescent="0.25">
      <c r="C45" t="s">
        <v>225</v>
      </c>
      <c r="D45" s="62" t="s">
        <v>122</v>
      </c>
      <c r="E45" s="63">
        <v>0</v>
      </c>
      <c r="F45" s="63">
        <v>0</v>
      </c>
      <c r="G45" s="63">
        <v>950885</v>
      </c>
      <c r="H45" s="72">
        <v>473229</v>
      </c>
    </row>
    <row r="46" spans="3:8" x14ac:dyDescent="0.25">
      <c r="C46" t="s">
        <v>217</v>
      </c>
      <c r="D46" s="59" t="s">
        <v>123</v>
      </c>
      <c r="E46" s="67">
        <v>0</v>
      </c>
      <c r="F46" s="67">
        <v>0</v>
      </c>
      <c r="G46" s="67">
        <v>0</v>
      </c>
      <c r="H46" s="68">
        <v>100000</v>
      </c>
    </row>
    <row r="47" spans="3:8" x14ac:dyDescent="0.25">
      <c r="C47" t="s">
        <v>226</v>
      </c>
      <c r="D47" s="62" t="s">
        <v>124</v>
      </c>
      <c r="E47" s="69">
        <v>297103</v>
      </c>
      <c r="F47" s="69">
        <v>261395</v>
      </c>
      <c r="G47" s="69">
        <v>35590361</v>
      </c>
      <c r="H47" s="70">
        <f>10441723+162833</f>
        <v>10604556</v>
      </c>
    </row>
    <row r="48" spans="3:8" x14ac:dyDescent="0.25">
      <c r="C48" t="s">
        <v>216</v>
      </c>
      <c r="D48" s="59" t="s">
        <v>125</v>
      </c>
      <c r="E48" s="65">
        <v>2618</v>
      </c>
      <c r="F48" s="65">
        <v>0</v>
      </c>
      <c r="G48" s="65">
        <v>0</v>
      </c>
      <c r="H48" s="71">
        <v>0</v>
      </c>
    </row>
    <row r="49" spans="3:8" x14ac:dyDescent="0.25">
      <c r="C49" t="s">
        <v>227</v>
      </c>
      <c r="D49" s="62" t="s">
        <v>126</v>
      </c>
      <c r="E49" s="63">
        <v>50833</v>
      </c>
      <c r="F49" s="63">
        <v>0</v>
      </c>
      <c r="G49" s="63">
        <v>220707</v>
      </c>
      <c r="H49" s="72">
        <v>11420</v>
      </c>
    </row>
    <row r="50" spans="3:8" x14ac:dyDescent="0.25">
      <c r="C50" t="s">
        <v>228</v>
      </c>
      <c r="D50" s="59" t="s">
        <v>127</v>
      </c>
      <c r="E50" s="65">
        <v>0</v>
      </c>
      <c r="F50" s="65">
        <v>153971</v>
      </c>
      <c r="G50" s="65">
        <v>2820206</v>
      </c>
      <c r="H50" s="71">
        <f>570000+1008351</f>
        <v>1578351</v>
      </c>
    </row>
    <row r="51" spans="3:8" x14ac:dyDescent="0.25">
      <c r="C51" t="s">
        <v>221</v>
      </c>
      <c r="D51" s="62" t="s">
        <v>128</v>
      </c>
      <c r="E51" s="63">
        <v>0</v>
      </c>
      <c r="F51" s="63">
        <v>4479</v>
      </c>
      <c r="G51" s="63">
        <v>16603</v>
      </c>
      <c r="H51" s="72">
        <v>0</v>
      </c>
    </row>
    <row r="52" spans="3:8" x14ac:dyDescent="0.25">
      <c r="C52" t="s">
        <v>216</v>
      </c>
      <c r="D52" s="59" t="s">
        <v>129</v>
      </c>
      <c r="E52" s="67">
        <v>24845</v>
      </c>
      <c r="F52" s="67">
        <v>0</v>
      </c>
      <c r="G52" s="67">
        <v>0</v>
      </c>
      <c r="H52" s="68">
        <v>75000</v>
      </c>
    </row>
    <row r="53" spans="3:8" x14ac:dyDescent="0.25">
      <c r="C53" t="s">
        <v>221</v>
      </c>
      <c r="D53" s="62" t="s">
        <v>130</v>
      </c>
      <c r="E53" s="63">
        <v>0</v>
      </c>
      <c r="F53" s="63">
        <v>0</v>
      </c>
      <c r="G53" s="63">
        <v>0</v>
      </c>
      <c r="H53" s="72">
        <v>430963</v>
      </c>
    </row>
    <row r="54" spans="3:8" x14ac:dyDescent="0.25">
      <c r="C54" t="s">
        <v>226</v>
      </c>
      <c r="D54" s="59" t="s">
        <v>131</v>
      </c>
      <c r="E54" s="65">
        <v>3513</v>
      </c>
      <c r="F54" s="65">
        <v>0</v>
      </c>
      <c r="G54" s="65">
        <v>986214</v>
      </c>
      <c r="H54" s="71">
        <f>179989+18008</f>
        <v>197997</v>
      </c>
    </row>
    <row r="55" spans="3:8" x14ac:dyDescent="0.25">
      <c r="C55" t="s">
        <v>221</v>
      </c>
      <c r="D55" s="62" t="s">
        <v>132</v>
      </c>
      <c r="E55" s="63">
        <v>3150501</v>
      </c>
      <c r="F55" s="63">
        <v>4221144</v>
      </c>
      <c r="G55" s="63">
        <v>4485648</v>
      </c>
      <c r="H55" s="72">
        <v>4409972</v>
      </c>
    </row>
    <row r="56" spans="3:8" x14ac:dyDescent="0.25">
      <c r="C56" t="s">
        <v>216</v>
      </c>
      <c r="D56" s="59" t="s">
        <v>133</v>
      </c>
      <c r="E56" s="65">
        <v>2201</v>
      </c>
      <c r="F56" s="65">
        <v>2096</v>
      </c>
      <c r="G56" s="65">
        <v>2374</v>
      </c>
      <c r="H56" s="71">
        <v>2926</v>
      </c>
    </row>
    <row r="57" spans="3:8" x14ac:dyDescent="0.25">
      <c r="C57" t="s">
        <v>216</v>
      </c>
      <c r="D57" s="62" t="s">
        <v>134</v>
      </c>
      <c r="E57" s="63">
        <v>14484</v>
      </c>
      <c r="F57" s="63">
        <v>14519</v>
      </c>
      <c r="G57" s="63">
        <v>16008</v>
      </c>
      <c r="H57" s="72">
        <v>16704</v>
      </c>
    </row>
    <row r="58" spans="3:8" x14ac:dyDescent="0.25">
      <c r="C58" t="s">
        <v>216</v>
      </c>
      <c r="D58" s="59" t="s">
        <v>135</v>
      </c>
      <c r="E58" s="65">
        <v>7762716</v>
      </c>
      <c r="F58" s="65">
        <v>9272585</v>
      </c>
      <c r="G58" s="65">
        <v>9788566</v>
      </c>
      <c r="H58" s="71">
        <v>9844405</v>
      </c>
    </row>
    <row r="59" spans="3:8" x14ac:dyDescent="0.25">
      <c r="C59" t="s">
        <v>217</v>
      </c>
      <c r="D59" s="62" t="s">
        <v>136</v>
      </c>
      <c r="E59" s="63">
        <v>34314</v>
      </c>
      <c r="F59" s="63">
        <v>41460</v>
      </c>
      <c r="G59" s="63">
        <v>239822</v>
      </c>
      <c r="H59" s="72">
        <v>302922</v>
      </c>
    </row>
    <row r="60" spans="3:8" x14ac:dyDescent="0.25">
      <c r="C60" t="s">
        <v>221</v>
      </c>
      <c r="D60" s="59" t="s">
        <v>137</v>
      </c>
      <c r="E60" s="67">
        <v>0</v>
      </c>
      <c r="F60" s="67">
        <v>31526</v>
      </c>
      <c r="G60" s="67">
        <v>0</v>
      </c>
      <c r="H60" s="68">
        <v>0</v>
      </c>
    </row>
    <row r="61" spans="3:8" x14ac:dyDescent="0.25">
      <c r="C61" t="s">
        <v>225</v>
      </c>
      <c r="D61" s="62" t="s">
        <v>138</v>
      </c>
      <c r="E61" s="69">
        <v>0</v>
      </c>
      <c r="F61" s="69">
        <v>0</v>
      </c>
      <c r="G61" s="69">
        <v>221242</v>
      </c>
      <c r="H61" s="70">
        <v>14932</v>
      </c>
    </row>
    <row r="62" spans="3:8" x14ac:dyDescent="0.25">
      <c r="C62" t="s">
        <v>217</v>
      </c>
      <c r="D62" s="59" t="s">
        <v>139</v>
      </c>
      <c r="E62" s="67">
        <v>71197</v>
      </c>
      <c r="F62" s="67">
        <v>87488</v>
      </c>
      <c r="G62" s="67">
        <v>88933</v>
      </c>
      <c r="H62" s="68">
        <v>48550</v>
      </c>
    </row>
    <row r="63" spans="3:8" x14ac:dyDescent="0.25">
      <c r="C63" t="s">
        <v>221</v>
      </c>
      <c r="D63" s="62" t="s">
        <v>140</v>
      </c>
      <c r="E63" s="69">
        <v>190311</v>
      </c>
      <c r="F63" s="69">
        <v>157966</v>
      </c>
      <c r="G63" s="69">
        <v>139512</v>
      </c>
      <c r="H63" s="70">
        <v>267297</v>
      </c>
    </row>
    <row r="64" spans="3:8" x14ac:dyDescent="0.25">
      <c r="C64" t="s">
        <v>229</v>
      </c>
      <c r="D64" s="73" t="s">
        <v>141</v>
      </c>
      <c r="E64" s="67">
        <v>17016979</v>
      </c>
      <c r="F64" s="67">
        <v>18443251</v>
      </c>
      <c r="G64" s="67">
        <v>20801049</v>
      </c>
      <c r="H64" s="68">
        <f>7505422+17674987</f>
        <v>25180409</v>
      </c>
    </row>
    <row r="65" spans="3:8" x14ac:dyDescent="0.25">
      <c r="C65" t="s">
        <v>216</v>
      </c>
      <c r="D65" s="62" t="s">
        <v>142</v>
      </c>
      <c r="E65" s="69">
        <v>169332</v>
      </c>
      <c r="F65" s="69">
        <v>150637</v>
      </c>
      <c r="G65" s="69">
        <v>255515</v>
      </c>
      <c r="H65" s="70">
        <v>433895</v>
      </c>
    </row>
    <row r="66" spans="3:8" x14ac:dyDescent="0.25">
      <c r="C66" t="s">
        <v>216</v>
      </c>
      <c r="D66" s="59" t="s">
        <v>143</v>
      </c>
      <c r="E66" s="67">
        <v>148564</v>
      </c>
      <c r="F66" s="67">
        <v>150197</v>
      </c>
      <c r="G66" s="67">
        <v>166063</v>
      </c>
      <c r="H66" s="68">
        <v>276151</v>
      </c>
    </row>
    <row r="67" spans="3:8" x14ac:dyDescent="0.25">
      <c r="C67" t="s">
        <v>217</v>
      </c>
      <c r="D67" s="62" t="s">
        <v>144</v>
      </c>
      <c r="E67" s="69">
        <v>12429207</v>
      </c>
      <c r="F67" s="69">
        <v>13927326</v>
      </c>
      <c r="G67" s="69">
        <v>15080493</v>
      </c>
      <c r="H67" s="70">
        <v>16673455</v>
      </c>
    </row>
    <row r="68" spans="3:8" x14ac:dyDescent="0.25">
      <c r="C68" t="s">
        <v>216</v>
      </c>
      <c r="D68" s="59" t="s">
        <v>145</v>
      </c>
      <c r="E68" s="67">
        <v>2305527</v>
      </c>
      <c r="F68" s="67">
        <v>3008362</v>
      </c>
      <c r="G68" s="67">
        <v>3273738</v>
      </c>
      <c r="H68" s="68">
        <v>3184930</v>
      </c>
    </row>
    <row r="69" spans="3:8" x14ac:dyDescent="0.25">
      <c r="C69" t="s">
        <v>221</v>
      </c>
      <c r="D69" s="62" t="s">
        <v>146</v>
      </c>
      <c r="E69" s="69">
        <v>319040</v>
      </c>
      <c r="F69" s="69">
        <v>330920</v>
      </c>
      <c r="G69" s="69">
        <v>284015</v>
      </c>
      <c r="H69" s="70">
        <v>446586</v>
      </c>
    </row>
    <row r="70" spans="3:8" x14ac:dyDescent="0.25">
      <c r="C70" t="s">
        <v>222</v>
      </c>
      <c r="D70" s="59" t="s">
        <v>147</v>
      </c>
      <c r="E70" s="67">
        <v>13841580</v>
      </c>
      <c r="F70" s="67">
        <v>15184944</v>
      </c>
      <c r="G70" s="67">
        <v>17648254</v>
      </c>
      <c r="H70" s="68">
        <f>106548+20046597</f>
        <v>20153145</v>
      </c>
    </row>
    <row r="71" spans="3:8" x14ac:dyDescent="0.25">
      <c r="C71" t="s">
        <v>217</v>
      </c>
      <c r="D71" s="62" t="s">
        <v>148</v>
      </c>
      <c r="E71" s="69">
        <v>10660822</v>
      </c>
      <c r="F71" s="69">
        <v>11648118</v>
      </c>
      <c r="G71" s="69">
        <v>11795382</v>
      </c>
      <c r="H71" s="70">
        <v>14175818</v>
      </c>
    </row>
    <row r="72" spans="3:8" x14ac:dyDescent="0.25">
      <c r="C72" t="s">
        <v>225</v>
      </c>
      <c r="D72" s="59" t="s">
        <v>149</v>
      </c>
      <c r="E72" s="67">
        <v>12963680</v>
      </c>
      <c r="F72" s="67">
        <v>13640018</v>
      </c>
      <c r="G72" s="67">
        <v>15885685</v>
      </c>
      <c r="H72" s="68">
        <v>17322694</v>
      </c>
    </row>
    <row r="73" spans="3:8" x14ac:dyDescent="0.25">
      <c r="C73" t="s">
        <v>225</v>
      </c>
      <c r="D73" s="62" t="s">
        <v>150</v>
      </c>
      <c r="E73" s="69">
        <v>673652</v>
      </c>
      <c r="F73" s="69">
        <v>153713</v>
      </c>
      <c r="G73" s="69">
        <v>147326</v>
      </c>
      <c r="H73" s="70">
        <v>147298</v>
      </c>
    </row>
    <row r="74" spans="3:8" x14ac:dyDescent="0.25">
      <c r="C74" t="s">
        <v>216</v>
      </c>
      <c r="D74" s="59" t="s">
        <v>151</v>
      </c>
      <c r="E74" s="67">
        <v>165002</v>
      </c>
      <c r="F74" s="67">
        <v>104889</v>
      </c>
      <c r="G74" s="67">
        <v>63931</v>
      </c>
      <c r="H74" s="68">
        <v>95644</v>
      </c>
    </row>
    <row r="75" spans="3:8" x14ac:dyDescent="0.25">
      <c r="C75" t="s">
        <v>217</v>
      </c>
      <c r="D75" s="62" t="s">
        <v>152</v>
      </c>
      <c r="E75" s="69">
        <v>15775911</v>
      </c>
      <c r="F75" s="69">
        <v>16303823</v>
      </c>
      <c r="G75" s="69">
        <v>15995399</v>
      </c>
      <c r="H75" s="70">
        <v>21200889</v>
      </c>
    </row>
    <row r="76" spans="3:8" x14ac:dyDescent="0.25">
      <c r="C76" t="s">
        <v>216</v>
      </c>
      <c r="D76" s="59" t="s">
        <v>153</v>
      </c>
      <c r="E76" s="67">
        <v>985108</v>
      </c>
      <c r="F76" s="67">
        <v>1238673</v>
      </c>
      <c r="G76" s="67">
        <v>1232892</v>
      </c>
      <c r="H76" s="68">
        <v>1379513</v>
      </c>
    </row>
    <row r="77" spans="3:8" x14ac:dyDescent="0.25">
      <c r="C77" t="s">
        <v>216</v>
      </c>
      <c r="D77" s="62" t="s">
        <v>154</v>
      </c>
      <c r="E77" s="69">
        <v>10933</v>
      </c>
      <c r="F77" s="69">
        <v>23677</v>
      </c>
      <c r="G77" s="69">
        <v>14108</v>
      </c>
      <c r="H77" s="70">
        <v>18282</v>
      </c>
    </row>
    <row r="78" spans="3:8" x14ac:dyDescent="0.25">
      <c r="C78" t="s">
        <v>216</v>
      </c>
      <c r="D78" s="59" t="s">
        <v>155</v>
      </c>
      <c r="E78" s="67">
        <v>113838</v>
      </c>
      <c r="F78" s="67">
        <v>226078</v>
      </c>
      <c r="G78" s="67">
        <v>232809</v>
      </c>
      <c r="H78" s="68">
        <v>277362</v>
      </c>
    </row>
    <row r="79" spans="3:8" x14ac:dyDescent="0.25">
      <c r="C79" t="s">
        <v>217</v>
      </c>
      <c r="D79" s="62" t="s">
        <v>156</v>
      </c>
      <c r="E79" s="69">
        <v>1777424</v>
      </c>
      <c r="F79" s="69">
        <v>1947050</v>
      </c>
      <c r="G79" s="69">
        <v>419097</v>
      </c>
      <c r="H79" s="70">
        <v>1293626</v>
      </c>
    </row>
    <row r="80" spans="3:8" x14ac:dyDescent="0.25">
      <c r="C80" t="s">
        <v>226</v>
      </c>
      <c r="D80" s="59" t="s">
        <v>157</v>
      </c>
      <c r="E80" s="67">
        <v>8902009</v>
      </c>
      <c r="F80" s="67">
        <v>9789143</v>
      </c>
      <c r="G80" s="67">
        <v>9468672</v>
      </c>
      <c r="H80" s="68">
        <f>9008911+778903</f>
        <v>9787814</v>
      </c>
    </row>
    <row r="81" spans="3:8" x14ac:dyDescent="0.25">
      <c r="C81" t="s">
        <v>221</v>
      </c>
      <c r="D81" s="62" t="s">
        <v>158</v>
      </c>
      <c r="E81" s="69">
        <v>542424</v>
      </c>
      <c r="F81" s="69">
        <v>166346</v>
      </c>
      <c r="G81" s="69">
        <v>372752</v>
      </c>
      <c r="H81" s="70">
        <v>310882</v>
      </c>
    </row>
    <row r="82" spans="3:8" x14ac:dyDescent="0.25">
      <c r="C82" t="s">
        <v>226</v>
      </c>
      <c r="D82" s="59" t="s">
        <v>159</v>
      </c>
      <c r="E82" s="67">
        <v>100093</v>
      </c>
      <c r="F82" s="67">
        <v>168828</v>
      </c>
      <c r="G82" s="67">
        <v>291022</v>
      </c>
      <c r="H82" s="68">
        <v>127480</v>
      </c>
    </row>
    <row r="83" spans="3:8" x14ac:dyDescent="0.25">
      <c r="C83" t="s">
        <v>217</v>
      </c>
      <c r="D83" s="74" t="s">
        <v>160</v>
      </c>
      <c r="E83" s="69">
        <v>1365</v>
      </c>
      <c r="F83" s="69">
        <v>1337</v>
      </c>
      <c r="G83" s="69">
        <v>29258</v>
      </c>
      <c r="H83" s="70">
        <v>1905</v>
      </c>
    </row>
    <row r="84" spans="3:8" x14ac:dyDescent="0.25">
      <c r="C84" t="s">
        <v>230</v>
      </c>
      <c r="D84" s="73" t="s">
        <v>161</v>
      </c>
      <c r="E84" s="67">
        <v>4138196</v>
      </c>
      <c r="F84" s="67">
        <v>4058028</v>
      </c>
      <c r="G84" s="67">
        <v>3819163</v>
      </c>
      <c r="H84" s="68">
        <f>52908+4539288</f>
        <v>4592196</v>
      </c>
    </row>
    <row r="85" spans="3:8" x14ac:dyDescent="0.25">
      <c r="C85" t="s">
        <v>230</v>
      </c>
      <c r="D85" s="62" t="s">
        <v>162</v>
      </c>
      <c r="E85" s="69">
        <v>18487787</v>
      </c>
      <c r="F85" s="69">
        <v>-27481078</v>
      </c>
      <c r="G85" s="69">
        <v>16632124</v>
      </c>
      <c r="H85" s="70">
        <f>13789886+4866930+19227240</f>
        <v>37884056</v>
      </c>
    </row>
    <row r="86" spans="3:8" x14ac:dyDescent="0.25">
      <c r="C86" t="s">
        <v>221</v>
      </c>
      <c r="D86" s="59" t="s">
        <v>163</v>
      </c>
      <c r="E86" s="67">
        <v>286648</v>
      </c>
      <c r="F86" s="67">
        <v>335188</v>
      </c>
      <c r="G86" s="67">
        <v>362913</v>
      </c>
      <c r="H86" s="68">
        <v>375288</v>
      </c>
    </row>
    <row r="87" spans="3:8" x14ac:dyDescent="0.25">
      <c r="C87" t="s">
        <v>231</v>
      </c>
      <c r="D87" s="62" t="s">
        <v>164</v>
      </c>
      <c r="E87" s="69">
        <v>501517</v>
      </c>
      <c r="F87" s="69">
        <v>400700</v>
      </c>
      <c r="G87" s="69">
        <v>1069745</v>
      </c>
      <c r="H87" s="70">
        <f>448405+35009</f>
        <v>483414</v>
      </c>
    </row>
    <row r="88" spans="3:8" x14ac:dyDescent="0.25">
      <c r="C88" t="s">
        <v>232</v>
      </c>
      <c r="D88" s="59" t="s">
        <v>165</v>
      </c>
      <c r="E88" s="67">
        <v>6070</v>
      </c>
      <c r="F88" s="67">
        <v>16369</v>
      </c>
      <c r="G88" s="67">
        <v>4702</v>
      </c>
      <c r="H88" s="68">
        <f>22566+6388</f>
        <v>28954</v>
      </c>
    </row>
    <row r="89" spans="3:8" x14ac:dyDescent="0.25">
      <c r="C89" t="s">
        <v>221</v>
      </c>
      <c r="D89" s="62" t="s">
        <v>166</v>
      </c>
      <c r="E89" s="69">
        <v>144694</v>
      </c>
      <c r="F89" s="69">
        <v>136294</v>
      </c>
      <c r="G89" s="69">
        <v>94215</v>
      </c>
      <c r="H89" s="70">
        <f>145197</f>
        <v>145197</v>
      </c>
    </row>
    <row r="90" spans="3:8" x14ac:dyDescent="0.25">
      <c r="C90" t="s">
        <v>233</v>
      </c>
      <c r="D90" s="59" t="s">
        <v>167</v>
      </c>
      <c r="E90" s="67">
        <v>3286384</v>
      </c>
      <c r="F90" s="67">
        <v>4139671</v>
      </c>
      <c r="G90" s="67">
        <v>4157362</v>
      </c>
      <c r="H90" s="68">
        <v>5089361</v>
      </c>
    </row>
    <row r="91" spans="3:8" x14ac:dyDescent="0.25">
      <c r="C91" t="s">
        <v>226</v>
      </c>
      <c r="D91" s="62" t="s">
        <v>168</v>
      </c>
      <c r="E91" s="69">
        <v>51</v>
      </c>
      <c r="F91" s="69">
        <v>5251</v>
      </c>
      <c r="G91" s="69">
        <v>66076</v>
      </c>
      <c r="H91" s="70">
        <v>97977</v>
      </c>
    </row>
    <row r="92" spans="3:8" x14ac:dyDescent="0.25">
      <c r="C92" t="s">
        <v>234</v>
      </c>
      <c r="D92" s="59" t="s">
        <v>27</v>
      </c>
      <c r="E92" s="67">
        <v>6117186</v>
      </c>
      <c r="F92" s="67">
        <v>5200783</v>
      </c>
      <c r="G92" s="67">
        <v>7836558</v>
      </c>
      <c r="H92" s="68">
        <f>292604+481941+11686495</f>
        <v>12461040</v>
      </c>
    </row>
    <row r="93" spans="3:8" x14ac:dyDescent="0.25">
      <c r="C93" t="s">
        <v>235</v>
      </c>
      <c r="D93" s="62" t="s">
        <v>169</v>
      </c>
      <c r="E93" s="69">
        <v>4761918</v>
      </c>
      <c r="F93" s="69">
        <v>7506930</v>
      </c>
      <c r="G93" s="69">
        <v>4164570</v>
      </c>
      <c r="H93" s="70">
        <v>8669770</v>
      </c>
    </row>
    <row r="94" spans="3:8" x14ac:dyDescent="0.25">
      <c r="C94" t="s">
        <v>216</v>
      </c>
      <c r="D94" s="59" t="s">
        <v>170</v>
      </c>
      <c r="E94" s="65">
        <v>0</v>
      </c>
      <c r="F94" s="65">
        <v>0</v>
      </c>
      <c r="G94" s="65">
        <v>0</v>
      </c>
      <c r="H94" s="71">
        <v>863994</v>
      </c>
    </row>
    <row r="95" spans="3:8" x14ac:dyDescent="0.25">
      <c r="C95" t="s">
        <v>221</v>
      </c>
      <c r="D95" s="62" t="s">
        <v>171</v>
      </c>
      <c r="E95" s="63">
        <v>0</v>
      </c>
      <c r="F95" s="63">
        <v>0</v>
      </c>
      <c r="G95" s="63">
        <v>1780444</v>
      </c>
      <c r="H95" s="72">
        <v>0</v>
      </c>
    </row>
    <row r="96" spans="3:8" x14ac:dyDescent="0.25">
      <c r="C96" t="s">
        <v>216</v>
      </c>
      <c r="D96" s="59" t="s">
        <v>172</v>
      </c>
      <c r="E96" s="67">
        <v>0</v>
      </c>
      <c r="F96" s="67">
        <v>0</v>
      </c>
      <c r="G96" s="67">
        <v>0</v>
      </c>
      <c r="H96" s="68">
        <v>1340733</v>
      </c>
    </row>
    <row r="97" spans="3:8" x14ac:dyDescent="0.25">
      <c r="C97" t="s">
        <v>236</v>
      </c>
      <c r="D97" s="62" t="s">
        <v>173</v>
      </c>
      <c r="E97" s="69">
        <v>0</v>
      </c>
      <c r="F97" s="69">
        <v>0</v>
      </c>
      <c r="G97" s="69">
        <v>29925000</v>
      </c>
      <c r="H97" s="70">
        <v>0</v>
      </c>
    </row>
    <row r="98" spans="3:8" x14ac:dyDescent="0.25">
      <c r="C98" t="s">
        <v>231</v>
      </c>
      <c r="D98" s="59" t="s">
        <v>174</v>
      </c>
      <c r="E98" s="67">
        <v>101725</v>
      </c>
      <c r="F98" s="67">
        <v>230527</v>
      </c>
      <c r="G98" s="67">
        <v>284610</v>
      </c>
      <c r="H98" s="68">
        <f>1043601+1253256</f>
        <v>2296857</v>
      </c>
    </row>
    <row r="99" spans="3:8" x14ac:dyDescent="0.25">
      <c r="C99" t="s">
        <v>225</v>
      </c>
      <c r="D99" s="75" t="s">
        <v>175</v>
      </c>
      <c r="E99" s="76">
        <v>1976577</v>
      </c>
      <c r="F99" s="76">
        <v>5151549</v>
      </c>
      <c r="G99" s="76">
        <v>39036847</v>
      </c>
      <c r="H99" s="77">
        <v>10835120</v>
      </c>
    </row>
    <row r="100" spans="3:8" x14ac:dyDescent="0.25">
      <c r="D100" s="19"/>
      <c r="E100" s="78"/>
      <c r="F100" s="78"/>
      <c r="G100" s="78"/>
      <c r="H100" s="78"/>
    </row>
    <row r="101" spans="3:8" x14ac:dyDescent="0.25">
      <c r="D101" s="79"/>
      <c r="E101" s="80"/>
      <c r="F101" s="80"/>
      <c r="G101" s="80"/>
      <c r="H101" s="80"/>
    </row>
    <row r="102" spans="3:8" x14ac:dyDescent="0.25">
      <c r="D102" s="19"/>
    </row>
    <row r="103" spans="3:8" x14ac:dyDescent="0.25">
      <c r="D103" s="19"/>
    </row>
    <row r="104" spans="3:8" x14ac:dyDescent="0.25">
      <c r="D104" s="19"/>
    </row>
    <row r="105" spans="3:8" x14ac:dyDescent="0.25">
      <c r="D105" s="19"/>
    </row>
    <row r="106" spans="3:8" x14ac:dyDescent="0.25">
      <c r="D106" s="19"/>
    </row>
    <row r="107" spans="3:8" x14ac:dyDescent="0.25">
      <c r="D107" s="19"/>
    </row>
    <row r="108" spans="3:8" x14ac:dyDescent="0.25">
      <c r="D108" s="19"/>
    </row>
    <row r="109" spans="3:8" x14ac:dyDescent="0.25">
      <c r="D109" s="19"/>
    </row>
    <row r="110" spans="3:8" x14ac:dyDescent="0.25">
      <c r="D110" s="19"/>
    </row>
    <row r="111" spans="3:8" x14ac:dyDescent="0.25">
      <c r="D111" s="19"/>
    </row>
    <row r="112" spans="3:8" x14ac:dyDescent="0.25">
      <c r="D112" s="19"/>
    </row>
    <row r="113" spans="4:4" x14ac:dyDescent="0.25">
      <c r="D113" s="19"/>
    </row>
    <row r="114" spans="4:4" x14ac:dyDescent="0.25">
      <c r="D114" s="19"/>
    </row>
    <row r="115" spans="4:4" x14ac:dyDescent="0.25">
      <c r="D115" s="19"/>
    </row>
    <row r="116" spans="4:4" x14ac:dyDescent="0.25">
      <c r="D116" s="19"/>
    </row>
    <row r="117" spans="4:4" x14ac:dyDescent="0.25">
      <c r="D117" s="19"/>
    </row>
    <row r="118" spans="4:4" x14ac:dyDescent="0.25">
      <c r="D118" s="19"/>
    </row>
    <row r="119" spans="4:4" x14ac:dyDescent="0.25">
      <c r="D119" s="19"/>
    </row>
    <row r="120" spans="4:4" x14ac:dyDescent="0.25">
      <c r="D120" s="19"/>
    </row>
    <row r="121" spans="4:4" x14ac:dyDescent="0.25">
      <c r="D121" s="19"/>
    </row>
    <row r="122" spans="4:4" x14ac:dyDescent="0.25">
      <c r="D122" s="19"/>
    </row>
    <row r="123" spans="4:4" x14ac:dyDescent="0.25">
      <c r="D123" s="19"/>
    </row>
    <row r="124" spans="4:4" x14ac:dyDescent="0.25">
      <c r="D124" s="19"/>
    </row>
    <row r="125" spans="4:4" x14ac:dyDescent="0.25">
      <c r="D125" s="19"/>
    </row>
    <row r="126" spans="4:4" x14ac:dyDescent="0.25">
      <c r="D126" s="19"/>
    </row>
    <row r="127" spans="4:4" x14ac:dyDescent="0.25">
      <c r="D127" s="19"/>
    </row>
    <row r="128" spans="4:4" x14ac:dyDescent="0.25">
      <c r="D128" s="19"/>
    </row>
    <row r="129" spans="4:4" x14ac:dyDescent="0.25">
      <c r="D129" s="19"/>
    </row>
    <row r="130" spans="4:4" x14ac:dyDescent="0.25">
      <c r="D130" s="19"/>
    </row>
    <row r="131" spans="4:4" x14ac:dyDescent="0.25">
      <c r="D131" s="19"/>
    </row>
    <row r="132" spans="4:4" x14ac:dyDescent="0.25">
      <c r="D132" s="19"/>
    </row>
    <row r="133" spans="4:4" x14ac:dyDescent="0.25">
      <c r="D133" s="19"/>
    </row>
    <row r="134" spans="4:4" x14ac:dyDescent="0.25">
      <c r="D134" s="19"/>
    </row>
    <row r="135" spans="4:4" x14ac:dyDescent="0.25">
      <c r="D135" s="19"/>
    </row>
    <row r="136" spans="4:4" x14ac:dyDescent="0.25">
      <c r="D136" s="19"/>
    </row>
    <row r="137" spans="4:4" x14ac:dyDescent="0.25">
      <c r="D137" s="19"/>
    </row>
    <row r="138" spans="4:4" x14ac:dyDescent="0.25">
      <c r="D138" s="19"/>
    </row>
    <row r="139" spans="4:4" x14ac:dyDescent="0.25">
      <c r="D139" s="19"/>
    </row>
    <row r="140" spans="4:4" x14ac:dyDescent="0.25">
      <c r="D140" s="19"/>
    </row>
    <row r="141" spans="4:4" x14ac:dyDescent="0.25">
      <c r="D141" s="19"/>
    </row>
    <row r="142" spans="4:4" x14ac:dyDescent="0.25">
      <c r="D142" s="19"/>
    </row>
    <row r="143" spans="4:4" x14ac:dyDescent="0.25">
      <c r="D143" s="19"/>
    </row>
    <row r="144" spans="4:4" x14ac:dyDescent="0.25">
      <c r="D144" s="19"/>
    </row>
    <row r="145" spans="4:4" x14ac:dyDescent="0.25">
      <c r="D145" s="19"/>
    </row>
    <row r="146" spans="4:4" x14ac:dyDescent="0.25">
      <c r="D146" s="19"/>
    </row>
    <row r="147" spans="4:4" x14ac:dyDescent="0.25">
      <c r="D147" s="19"/>
    </row>
    <row r="148" spans="4:4" x14ac:dyDescent="0.25">
      <c r="D148" s="19"/>
    </row>
    <row r="149" spans="4:4" x14ac:dyDescent="0.25">
      <c r="D149" s="19"/>
    </row>
    <row r="150" spans="4:4" x14ac:dyDescent="0.25">
      <c r="D150" s="19"/>
    </row>
    <row r="151" spans="4:4" x14ac:dyDescent="0.25">
      <c r="D151" s="19"/>
    </row>
    <row r="152" spans="4:4" x14ac:dyDescent="0.25">
      <c r="D152" s="19"/>
    </row>
    <row r="153" spans="4:4" x14ac:dyDescent="0.25">
      <c r="D153" s="19"/>
    </row>
    <row r="154" spans="4:4" x14ac:dyDescent="0.25">
      <c r="D154" s="19"/>
    </row>
    <row r="155" spans="4:4" x14ac:dyDescent="0.25">
      <c r="D155" s="19"/>
    </row>
    <row r="156" spans="4:4" x14ac:dyDescent="0.25">
      <c r="D156" s="19"/>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91CDB7-744C-4E47-AE11-931BD52BE763}">
  <dimension ref="C5:I29"/>
  <sheetViews>
    <sheetView workbookViewId="0">
      <selection activeCell="D35" sqref="D35"/>
    </sheetView>
  </sheetViews>
  <sheetFormatPr defaultRowHeight="15" x14ac:dyDescent="0.25"/>
  <cols>
    <col min="3" max="3" width="41" customWidth="1"/>
    <col min="4" max="4" width="36.85546875" customWidth="1"/>
    <col min="5" max="5" width="36.140625" customWidth="1"/>
    <col min="6" max="6" width="29.28515625" customWidth="1"/>
    <col min="7" max="7" width="22.5703125" customWidth="1"/>
    <col min="8" max="8" width="21" customWidth="1"/>
    <col min="9" max="9" width="24" customWidth="1"/>
    <col min="11" max="11" width="9.5703125" bestFit="1" customWidth="1"/>
  </cols>
  <sheetData>
    <row r="5" spans="3:9" ht="15.75" thickBot="1" x14ac:dyDescent="0.3">
      <c r="C5" s="84" t="s">
        <v>24</v>
      </c>
      <c r="D5" s="85" t="s">
        <v>25</v>
      </c>
      <c r="E5" s="86" t="s">
        <v>26</v>
      </c>
      <c r="F5" s="50" t="s">
        <v>20</v>
      </c>
      <c r="G5" s="50" t="s">
        <v>21</v>
      </c>
      <c r="H5" s="50" t="s">
        <v>22</v>
      </c>
      <c r="I5" s="58" t="s">
        <v>23</v>
      </c>
    </row>
    <row r="6" spans="3:9" ht="15.75" thickTop="1" x14ac:dyDescent="0.25">
      <c r="C6" s="5"/>
      <c r="F6" s="21"/>
      <c r="G6" s="21"/>
      <c r="H6" s="21"/>
      <c r="I6" s="87"/>
    </row>
    <row r="7" spans="3:9" x14ac:dyDescent="0.25">
      <c r="C7" s="15" t="s">
        <v>176</v>
      </c>
      <c r="D7" s="88" t="s">
        <v>177</v>
      </c>
      <c r="E7" s="88" t="s">
        <v>177</v>
      </c>
      <c r="F7" s="56">
        <f>138612+7067</f>
        <v>145679</v>
      </c>
      <c r="G7" s="56">
        <v>0</v>
      </c>
      <c r="H7" s="56">
        <f>2248087+172289</f>
        <v>2420376</v>
      </c>
      <c r="I7" s="57">
        <f>4385316+481614</f>
        <v>4866930</v>
      </c>
    </row>
    <row r="8" spans="3:9" x14ac:dyDescent="0.25">
      <c r="C8" s="73" t="s">
        <v>176</v>
      </c>
      <c r="D8" s="11" t="s">
        <v>214</v>
      </c>
      <c r="E8" s="11" t="s">
        <v>214</v>
      </c>
      <c r="F8" s="64">
        <v>4343</v>
      </c>
      <c r="G8" s="64">
        <v>0</v>
      </c>
      <c r="H8" s="64">
        <v>0</v>
      </c>
      <c r="I8" s="66">
        <v>0</v>
      </c>
    </row>
    <row r="9" spans="3:9" x14ac:dyDescent="0.25">
      <c r="C9" s="89"/>
      <c r="D9" s="7"/>
      <c r="E9" s="7"/>
      <c r="F9" s="90"/>
      <c r="G9" s="90"/>
      <c r="H9" s="90"/>
      <c r="I9" s="91"/>
    </row>
    <row r="10" spans="3:9" x14ac:dyDescent="0.25">
      <c r="C10" s="15" t="s">
        <v>178</v>
      </c>
      <c r="D10" s="88" t="s">
        <v>179</v>
      </c>
      <c r="E10" s="88" t="s">
        <v>180</v>
      </c>
      <c r="F10" s="56">
        <f>1711008+751314</f>
        <v>2462322</v>
      </c>
      <c r="G10" s="56">
        <f>2103271+1047895</f>
        <v>3151166</v>
      </c>
      <c r="H10" s="56">
        <f>1091304+806977</f>
        <v>1898281</v>
      </c>
      <c r="I10" s="57">
        <f>2602935+2156893</f>
        <v>4759828</v>
      </c>
    </row>
    <row r="11" spans="3:9" x14ac:dyDescent="0.25">
      <c r="C11" s="17" t="s">
        <v>178</v>
      </c>
      <c r="D11" s="11" t="s">
        <v>181</v>
      </c>
      <c r="E11" s="11" t="s">
        <v>182</v>
      </c>
      <c r="F11" s="64">
        <v>106514</v>
      </c>
      <c r="G11" s="64">
        <v>313077</v>
      </c>
      <c r="H11" s="64">
        <v>4246107</v>
      </c>
      <c r="I11" s="66">
        <v>1955412</v>
      </c>
    </row>
    <row r="12" spans="3:9" x14ac:dyDescent="0.25">
      <c r="C12" s="15" t="s">
        <v>178</v>
      </c>
      <c r="D12" s="88" t="s">
        <v>183</v>
      </c>
      <c r="E12" s="88" t="s">
        <v>184</v>
      </c>
      <c r="F12" s="56">
        <v>1869645</v>
      </c>
      <c r="G12" s="56">
        <v>4838472</v>
      </c>
      <c r="H12" s="56">
        <v>39036847</v>
      </c>
      <c r="I12" s="57">
        <v>10835120</v>
      </c>
    </row>
    <row r="13" spans="3:9" x14ac:dyDescent="0.25">
      <c r="C13" s="89"/>
      <c r="F13" s="64"/>
      <c r="G13" s="64"/>
      <c r="H13" s="64"/>
      <c r="I13" s="66"/>
    </row>
    <row r="14" spans="3:9" x14ac:dyDescent="0.25">
      <c r="C14" s="92" t="s">
        <v>185</v>
      </c>
      <c r="D14" s="93" t="s">
        <v>168</v>
      </c>
      <c r="E14" s="93" t="s">
        <v>168</v>
      </c>
      <c r="F14" s="94">
        <v>51</v>
      </c>
      <c r="G14" s="94">
        <v>5251</v>
      </c>
      <c r="H14" s="94">
        <v>66076</v>
      </c>
      <c r="I14" s="95">
        <v>97978</v>
      </c>
    </row>
    <row r="15" spans="3:9" x14ac:dyDescent="0.25">
      <c r="C15" s="17" t="s">
        <v>185</v>
      </c>
      <c r="D15" s="83" t="s">
        <v>186</v>
      </c>
      <c r="E15" s="83" t="s">
        <v>186</v>
      </c>
      <c r="F15" s="67">
        <v>90517</v>
      </c>
      <c r="G15" s="67">
        <v>91615</v>
      </c>
      <c r="H15" s="67">
        <v>109652</v>
      </c>
      <c r="I15" s="68">
        <v>128836</v>
      </c>
    </row>
    <row r="16" spans="3:9" x14ac:dyDescent="0.25">
      <c r="C16" s="92" t="s">
        <v>185</v>
      </c>
      <c r="D16" s="96" t="s">
        <v>187</v>
      </c>
      <c r="E16" s="96" t="s">
        <v>187</v>
      </c>
      <c r="F16" s="69">
        <v>962539</v>
      </c>
      <c r="G16" s="69">
        <v>626338</v>
      </c>
      <c r="H16" s="69">
        <v>608924</v>
      </c>
      <c r="I16" s="70">
        <v>656149</v>
      </c>
    </row>
    <row r="17" spans="3:9" x14ac:dyDescent="0.25">
      <c r="C17" s="17" t="s">
        <v>185</v>
      </c>
      <c r="D17" s="11" t="s">
        <v>188</v>
      </c>
      <c r="E17" s="11" t="s">
        <v>189</v>
      </c>
      <c r="F17" s="65">
        <v>328243</v>
      </c>
      <c r="G17" s="65">
        <v>376514</v>
      </c>
      <c r="H17" s="65">
        <v>361538</v>
      </c>
      <c r="I17" s="71">
        <v>299172</v>
      </c>
    </row>
    <row r="18" spans="3:9" x14ac:dyDescent="0.25">
      <c r="C18" s="92" t="s">
        <v>185</v>
      </c>
      <c r="D18" s="96" t="s">
        <v>190</v>
      </c>
      <c r="E18" s="96" t="s">
        <v>191</v>
      </c>
      <c r="F18" s="69">
        <v>571112</v>
      </c>
      <c r="G18" s="69">
        <v>597705</v>
      </c>
      <c r="H18" s="69">
        <v>657895</v>
      </c>
      <c r="I18" s="70">
        <v>758368</v>
      </c>
    </row>
    <row r="19" spans="3:9" x14ac:dyDescent="0.25">
      <c r="C19" s="17" t="s">
        <v>185</v>
      </c>
      <c r="D19" s="11" t="s">
        <v>192</v>
      </c>
      <c r="E19" s="11" t="s">
        <v>193</v>
      </c>
      <c r="F19" s="65">
        <v>178649</v>
      </c>
      <c r="G19" s="65">
        <v>182428</v>
      </c>
      <c r="H19" s="65">
        <v>202601</v>
      </c>
      <c r="I19" s="71">
        <v>231558</v>
      </c>
    </row>
    <row r="20" spans="3:9" x14ac:dyDescent="0.25">
      <c r="C20" s="81"/>
      <c r="D20" s="97"/>
      <c r="E20" s="82"/>
      <c r="F20" s="98"/>
      <c r="G20" s="98"/>
      <c r="H20" s="98"/>
      <c r="I20" s="99"/>
    </row>
    <row r="21" spans="3:9" x14ac:dyDescent="0.25">
      <c r="C21" s="92" t="s">
        <v>28</v>
      </c>
      <c r="D21" s="104" t="s">
        <v>197</v>
      </c>
      <c r="E21" s="104" t="s">
        <v>197</v>
      </c>
      <c r="F21" s="69">
        <v>5026</v>
      </c>
      <c r="G21" s="69">
        <v>7859</v>
      </c>
      <c r="H21" s="69">
        <v>9549</v>
      </c>
      <c r="I21" s="70">
        <v>7172</v>
      </c>
    </row>
    <row r="22" spans="3:9" x14ac:dyDescent="0.25">
      <c r="C22" s="17" t="s">
        <v>28</v>
      </c>
      <c r="D22" s="83" t="s">
        <v>198</v>
      </c>
      <c r="E22" s="83" t="s">
        <v>198</v>
      </c>
      <c r="F22" s="67">
        <v>6176</v>
      </c>
      <c r="G22" s="67">
        <v>10308</v>
      </c>
      <c r="H22" s="67">
        <v>12033</v>
      </c>
      <c r="I22" s="68">
        <v>9640</v>
      </c>
    </row>
    <row r="23" spans="3:9" x14ac:dyDescent="0.25">
      <c r="C23" s="92" t="s">
        <v>28</v>
      </c>
      <c r="D23" s="104" t="s">
        <v>199</v>
      </c>
      <c r="E23" s="104" t="s">
        <v>199</v>
      </c>
      <c r="F23" s="69">
        <v>95999</v>
      </c>
      <c r="G23" s="69">
        <v>131508</v>
      </c>
      <c r="H23" s="69">
        <v>425678</v>
      </c>
      <c r="I23" s="70">
        <v>720995</v>
      </c>
    </row>
    <row r="24" spans="3:9" x14ac:dyDescent="0.25">
      <c r="C24" s="17" t="s">
        <v>28</v>
      </c>
      <c r="D24" s="83" t="s">
        <v>200</v>
      </c>
      <c r="E24" s="83" t="s">
        <v>200</v>
      </c>
      <c r="F24" s="67">
        <v>6631</v>
      </c>
      <c r="G24" s="67">
        <v>49400</v>
      </c>
      <c r="H24" s="67">
        <v>128944</v>
      </c>
      <c r="I24" s="68">
        <v>186664</v>
      </c>
    </row>
    <row r="25" spans="3:9" x14ac:dyDescent="0.25">
      <c r="C25" s="92" t="s">
        <v>28</v>
      </c>
      <c r="D25" s="104" t="s">
        <v>201</v>
      </c>
      <c r="E25" s="104" t="s">
        <v>201</v>
      </c>
      <c r="F25" s="69">
        <v>23</v>
      </c>
      <c r="G25" s="69">
        <v>25</v>
      </c>
      <c r="H25" s="69">
        <v>0</v>
      </c>
      <c r="I25" s="70">
        <v>0</v>
      </c>
    </row>
    <row r="26" spans="3:9" x14ac:dyDescent="0.25">
      <c r="C26" s="17" t="s">
        <v>28</v>
      </c>
      <c r="D26" s="83" t="s">
        <v>202</v>
      </c>
      <c r="E26" s="83" t="s">
        <v>203</v>
      </c>
      <c r="F26" s="67">
        <v>0</v>
      </c>
      <c r="G26" s="67">
        <v>54123</v>
      </c>
      <c r="H26" s="67">
        <v>56125</v>
      </c>
      <c r="I26" s="68">
        <v>155474</v>
      </c>
    </row>
    <row r="27" spans="3:9" x14ac:dyDescent="0.25">
      <c r="C27" s="81"/>
      <c r="D27" s="82"/>
      <c r="E27" s="82"/>
      <c r="F27" s="98"/>
      <c r="G27" s="98"/>
      <c r="H27" s="98"/>
      <c r="I27" s="99"/>
    </row>
    <row r="28" spans="3:9" x14ac:dyDescent="0.25">
      <c r="C28" s="17" t="s">
        <v>170</v>
      </c>
      <c r="D28" s="11" t="s">
        <v>194</v>
      </c>
      <c r="E28" s="11" t="s">
        <v>195</v>
      </c>
      <c r="F28" s="64">
        <v>492700</v>
      </c>
      <c r="G28" s="64">
        <v>625800</v>
      </c>
      <c r="H28" s="64">
        <v>637700</v>
      </c>
      <c r="I28" s="66">
        <v>672800</v>
      </c>
    </row>
    <row r="29" spans="3:9" x14ac:dyDescent="0.25">
      <c r="C29" s="20" t="s">
        <v>170</v>
      </c>
      <c r="D29" s="102" t="s">
        <v>196</v>
      </c>
      <c r="E29" s="102" t="s">
        <v>196</v>
      </c>
      <c r="F29" s="100">
        <v>0</v>
      </c>
      <c r="G29" s="100">
        <v>0</v>
      </c>
      <c r="H29" s="100">
        <v>0</v>
      </c>
      <c r="I29" s="101">
        <v>863994</v>
      </c>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975E2C-F970-4783-8CDC-BA841183F080}">
  <dimension ref="A1:BL161"/>
  <sheetViews>
    <sheetView zoomScaleNormal="100" workbookViewId="0">
      <pane xSplit="2" ySplit="6" topLeftCell="C7" activePane="bottomRight" state="frozen"/>
      <selection pane="topRight" activeCell="C1" sqref="C1"/>
      <selection pane="bottomLeft" activeCell="A7" sqref="A7"/>
      <selection pane="bottomRight" sqref="A1:B1"/>
    </sheetView>
  </sheetViews>
  <sheetFormatPr defaultRowHeight="15" x14ac:dyDescent="0.25"/>
  <cols>
    <col min="1" max="1" width="32.7109375" bestFit="1" customWidth="1"/>
    <col min="2" max="2" width="18.42578125" customWidth="1"/>
    <col min="3" max="3" width="14.28515625" customWidth="1"/>
    <col min="4" max="6" width="12.28515625" customWidth="1"/>
    <col min="7" max="7" width="13.42578125" customWidth="1"/>
    <col min="8" max="10" width="12.28515625" customWidth="1"/>
    <col min="11" max="11" width="12.28515625" style="6" customWidth="1"/>
    <col min="12" max="19" width="12.28515625" customWidth="1"/>
    <col min="20" max="20" width="12.28515625" style="6" customWidth="1"/>
    <col min="21" max="22" width="12.28515625" customWidth="1"/>
    <col min="23" max="23" width="13" customWidth="1"/>
    <col min="24" max="26" width="12.28515625" customWidth="1"/>
    <col min="27" max="27" width="12.28515625" style="6" customWidth="1"/>
    <col min="28" max="32" width="12.28515625" customWidth="1"/>
    <col min="33" max="33" width="12.28515625" style="6" customWidth="1"/>
    <col min="34" max="37" width="12.28515625" customWidth="1"/>
    <col min="38" max="38" width="13.85546875" customWidth="1"/>
    <col min="39" max="39" width="12.28515625" customWidth="1"/>
    <col min="40" max="40" width="12.28515625" style="6" customWidth="1"/>
    <col min="41" max="47" width="12.28515625" customWidth="1"/>
    <col min="48" max="48" width="12.28515625" style="6" customWidth="1"/>
    <col min="49" max="50" width="12.28515625" customWidth="1"/>
    <col min="51" max="51" width="12.85546875" customWidth="1"/>
    <col min="52" max="52" width="12.28515625" customWidth="1"/>
    <col min="53" max="53" width="14.7109375" customWidth="1"/>
    <col min="54" max="57" width="12.28515625" customWidth="1"/>
    <col min="58" max="58" width="12.28515625" style="6" customWidth="1"/>
    <col min="59" max="59" width="12.28515625" customWidth="1"/>
    <col min="60" max="60" width="18.5703125" customWidth="1"/>
    <col min="61" max="61" width="12.28515625" customWidth="1"/>
    <col min="63" max="63" width="14.85546875" customWidth="1"/>
    <col min="64" max="64" width="15.5703125" customWidth="1"/>
  </cols>
  <sheetData>
    <row r="1" spans="1:64" ht="137.25" customHeight="1" x14ac:dyDescent="0.25">
      <c r="A1" s="128" t="s">
        <v>237</v>
      </c>
      <c r="B1" s="128"/>
    </row>
    <row r="2" spans="1:64" ht="18.75" x14ac:dyDescent="0.3">
      <c r="A2" s="30"/>
      <c r="B2" s="105"/>
      <c r="C2" s="139" t="s">
        <v>30</v>
      </c>
      <c r="D2" s="139"/>
      <c r="E2" s="139"/>
      <c r="F2" s="139"/>
      <c r="G2" s="139"/>
      <c r="H2" s="139"/>
      <c r="I2" s="139"/>
      <c r="J2" s="139"/>
      <c r="K2" s="139"/>
      <c r="L2" s="139"/>
      <c r="M2" s="139"/>
      <c r="N2" s="139"/>
      <c r="O2" s="139"/>
      <c r="P2" s="139"/>
      <c r="Q2" s="139"/>
      <c r="R2" s="139"/>
      <c r="S2" s="139"/>
      <c r="T2" s="139"/>
      <c r="U2" s="139"/>
      <c r="V2" s="139"/>
      <c r="W2" s="139"/>
      <c r="X2" s="139"/>
      <c r="Y2" s="139"/>
      <c r="Z2" s="139"/>
      <c r="AA2" s="139"/>
      <c r="AB2" s="139"/>
      <c r="AG2"/>
      <c r="AH2" s="6"/>
      <c r="AN2"/>
      <c r="AO2" s="6"/>
      <c r="AV2"/>
      <c r="AW2" s="6"/>
      <c r="BF2"/>
      <c r="BG2" s="7"/>
      <c r="BL2" s="106"/>
    </row>
    <row r="3" spans="1:64" x14ac:dyDescent="0.25">
      <c r="A3" s="30"/>
      <c r="B3" s="105"/>
      <c r="C3" s="140" t="s">
        <v>37</v>
      </c>
      <c r="D3" s="140"/>
      <c r="E3" s="140"/>
      <c r="F3" s="140"/>
      <c r="G3" s="140"/>
      <c r="H3" s="140"/>
      <c r="I3" s="140"/>
      <c r="J3" s="140"/>
      <c r="K3" s="140"/>
      <c r="L3" s="130" t="s">
        <v>46</v>
      </c>
      <c r="M3" s="130"/>
      <c r="N3" s="130"/>
      <c r="O3" s="130"/>
      <c r="P3" s="130"/>
      <c r="Q3" s="130"/>
      <c r="R3" s="130"/>
      <c r="S3" s="130"/>
      <c r="T3" s="130"/>
      <c r="U3" s="130"/>
      <c r="V3" s="129" t="s">
        <v>52</v>
      </c>
      <c r="W3" s="129"/>
      <c r="X3" s="129"/>
      <c r="Y3" s="129"/>
      <c r="Z3" s="129"/>
      <c r="AA3" s="129"/>
      <c r="AB3" s="129"/>
      <c r="AC3" s="130" t="s">
        <v>82</v>
      </c>
      <c r="AD3" s="130"/>
      <c r="AE3" s="130"/>
      <c r="AF3" s="130"/>
      <c r="AG3" s="130"/>
      <c r="AH3" s="130"/>
      <c r="AI3" s="129" t="s">
        <v>83</v>
      </c>
      <c r="AJ3" s="129"/>
      <c r="AK3" s="129"/>
      <c r="AL3" s="129"/>
      <c r="AM3" s="129"/>
      <c r="AN3" s="129"/>
      <c r="AO3" s="129"/>
      <c r="AP3" s="130" t="s">
        <v>84</v>
      </c>
      <c r="AQ3" s="130"/>
      <c r="AR3" s="130"/>
      <c r="AS3" s="130"/>
      <c r="AT3" s="130"/>
      <c r="AU3" s="130"/>
      <c r="AV3" s="130"/>
      <c r="AW3" s="130"/>
      <c r="AX3" s="129" t="s">
        <v>85</v>
      </c>
      <c r="AY3" s="129"/>
      <c r="AZ3" s="129"/>
      <c r="BA3" s="129"/>
      <c r="BB3" s="129"/>
      <c r="BC3" s="129"/>
      <c r="BD3" s="129"/>
      <c r="BE3" s="129"/>
      <c r="BF3" s="129"/>
      <c r="BG3" s="131"/>
      <c r="BH3" s="132" t="s">
        <v>45</v>
      </c>
      <c r="BI3" s="133"/>
      <c r="BJ3" s="133"/>
      <c r="BK3" s="134"/>
      <c r="BL3" s="107"/>
    </row>
    <row r="4" spans="1:64" x14ac:dyDescent="0.25">
      <c r="A4" s="30"/>
      <c r="B4" s="105"/>
      <c r="C4" s="135" t="s">
        <v>86</v>
      </c>
      <c r="D4" s="135"/>
      <c r="E4" s="135"/>
      <c r="F4" s="135"/>
      <c r="G4" s="135"/>
      <c r="H4" s="135"/>
      <c r="I4" s="135"/>
      <c r="J4" s="135"/>
      <c r="K4" s="135"/>
      <c r="L4" s="135" t="s">
        <v>86</v>
      </c>
      <c r="M4" s="135"/>
      <c r="N4" s="135"/>
      <c r="O4" s="135"/>
      <c r="P4" s="135"/>
      <c r="Q4" s="135"/>
      <c r="R4" s="135"/>
      <c r="S4" s="135"/>
      <c r="T4" s="136"/>
      <c r="U4" s="135"/>
      <c r="V4" s="135" t="s">
        <v>86</v>
      </c>
      <c r="W4" s="135"/>
      <c r="X4" s="135"/>
      <c r="Y4" s="135"/>
      <c r="Z4" s="135"/>
      <c r="AA4" s="135"/>
      <c r="AB4" s="135"/>
      <c r="AC4" s="135" t="s">
        <v>86</v>
      </c>
      <c r="AD4" s="135"/>
      <c r="AE4" s="135"/>
      <c r="AF4" s="135"/>
      <c r="AG4" s="135"/>
      <c r="AH4" s="135"/>
      <c r="AI4" s="135" t="s">
        <v>86</v>
      </c>
      <c r="AJ4" s="135"/>
      <c r="AK4" s="135"/>
      <c r="AL4" s="135"/>
      <c r="AM4" s="135"/>
      <c r="AN4" s="135"/>
      <c r="AO4" s="135"/>
      <c r="AP4" s="135" t="s">
        <v>86</v>
      </c>
      <c r="AQ4" s="135"/>
      <c r="AR4" s="135"/>
      <c r="AS4" s="135"/>
      <c r="AT4" s="135"/>
      <c r="AU4" s="135"/>
      <c r="AV4" s="135"/>
      <c r="AW4" s="135"/>
      <c r="AX4" s="135" t="s">
        <v>86</v>
      </c>
      <c r="AY4" s="135"/>
      <c r="AZ4" s="135"/>
      <c r="BA4" s="135"/>
      <c r="BB4" s="135"/>
      <c r="BC4" s="135"/>
      <c r="BD4" s="135"/>
      <c r="BE4" s="135"/>
      <c r="BF4" s="135"/>
      <c r="BG4" s="135"/>
      <c r="BH4" s="137"/>
      <c r="BI4" s="138"/>
      <c r="BJ4" s="103"/>
      <c r="BK4" s="31"/>
      <c r="BL4" s="108"/>
    </row>
    <row r="5" spans="1:64" ht="90" x14ac:dyDescent="0.25">
      <c r="A5" s="29" t="s">
        <v>29</v>
      </c>
      <c r="B5" s="109"/>
      <c r="C5" s="25" t="s">
        <v>31</v>
      </c>
      <c r="D5" s="24" t="s">
        <v>32</v>
      </c>
      <c r="E5" s="24" t="s">
        <v>78</v>
      </c>
      <c r="F5" s="24" t="s">
        <v>33</v>
      </c>
      <c r="G5" s="24" t="s">
        <v>79</v>
      </c>
      <c r="H5" s="24" t="s">
        <v>34</v>
      </c>
      <c r="I5" s="24" t="s">
        <v>35</v>
      </c>
      <c r="J5" s="24" t="s">
        <v>36</v>
      </c>
      <c r="K5" s="110" t="s">
        <v>38</v>
      </c>
      <c r="L5" s="24" t="s">
        <v>39</v>
      </c>
      <c r="M5" s="24" t="s">
        <v>40</v>
      </c>
      <c r="N5" s="24" t="s">
        <v>41</v>
      </c>
      <c r="O5" s="24" t="s">
        <v>80</v>
      </c>
      <c r="P5" s="24" t="s">
        <v>81</v>
      </c>
      <c r="Q5" s="24" t="s">
        <v>42</v>
      </c>
      <c r="R5" s="24" t="s">
        <v>43</v>
      </c>
      <c r="S5" s="24" t="s">
        <v>44</v>
      </c>
      <c r="T5" s="111" t="s">
        <v>45</v>
      </c>
      <c r="U5" s="110" t="s">
        <v>38</v>
      </c>
      <c r="V5" s="24" t="s">
        <v>47</v>
      </c>
      <c r="W5" s="24" t="s">
        <v>48</v>
      </c>
      <c r="X5" s="24" t="s">
        <v>49</v>
      </c>
      <c r="Y5" s="24" t="s">
        <v>50</v>
      </c>
      <c r="Z5" s="24" t="s">
        <v>51</v>
      </c>
      <c r="AA5" s="24" t="s">
        <v>45</v>
      </c>
      <c r="AB5" s="110" t="s">
        <v>38</v>
      </c>
      <c r="AC5" s="24" t="s">
        <v>53</v>
      </c>
      <c r="AD5" s="24" t="s">
        <v>54</v>
      </c>
      <c r="AE5" s="24" t="s">
        <v>55</v>
      </c>
      <c r="AF5" s="24" t="s">
        <v>56</v>
      </c>
      <c r="AG5" s="24" t="s">
        <v>45</v>
      </c>
      <c r="AH5" s="110" t="s">
        <v>38</v>
      </c>
      <c r="AI5" s="24" t="s">
        <v>57</v>
      </c>
      <c r="AJ5" s="24" t="s">
        <v>58</v>
      </c>
      <c r="AK5" s="24" t="s">
        <v>59</v>
      </c>
      <c r="AL5" s="24" t="s">
        <v>60</v>
      </c>
      <c r="AM5" s="24" t="s">
        <v>61</v>
      </c>
      <c r="AN5" s="24" t="s">
        <v>45</v>
      </c>
      <c r="AO5" s="110" t="s">
        <v>38</v>
      </c>
      <c r="AP5" s="24" t="s">
        <v>62</v>
      </c>
      <c r="AQ5" s="24" t="s">
        <v>63</v>
      </c>
      <c r="AR5" s="24" t="s">
        <v>64</v>
      </c>
      <c r="AS5" s="24" t="s">
        <v>65</v>
      </c>
      <c r="AT5" s="24" t="s">
        <v>66</v>
      </c>
      <c r="AU5" s="24" t="s">
        <v>67</v>
      </c>
      <c r="AV5" s="24" t="s">
        <v>45</v>
      </c>
      <c r="AW5" s="110" t="s">
        <v>38</v>
      </c>
      <c r="AX5" s="24" t="s">
        <v>68</v>
      </c>
      <c r="AY5" s="24" t="s">
        <v>69</v>
      </c>
      <c r="AZ5" s="24" t="s">
        <v>70</v>
      </c>
      <c r="BA5" s="24" t="s">
        <v>71</v>
      </c>
      <c r="BB5" s="24" t="s">
        <v>72</v>
      </c>
      <c r="BC5" s="24" t="s">
        <v>73</v>
      </c>
      <c r="BD5" s="24" t="s">
        <v>74</v>
      </c>
      <c r="BE5" s="24" t="s">
        <v>75</v>
      </c>
      <c r="BF5" s="24" t="s">
        <v>45</v>
      </c>
      <c r="BG5" s="110" t="s">
        <v>38</v>
      </c>
      <c r="BH5" s="24" t="s">
        <v>204</v>
      </c>
      <c r="BI5" s="24" t="s">
        <v>76</v>
      </c>
      <c r="BJ5" s="24" t="s">
        <v>77</v>
      </c>
      <c r="BK5" s="110" t="s">
        <v>38</v>
      </c>
      <c r="BL5" s="112" t="s">
        <v>205</v>
      </c>
    </row>
    <row r="6" spans="1:64" x14ac:dyDescent="0.25">
      <c r="A6" s="29"/>
      <c r="B6" s="113" t="s">
        <v>0</v>
      </c>
      <c r="C6" s="25"/>
      <c r="D6" s="24"/>
      <c r="E6" s="24"/>
      <c r="F6" s="24"/>
      <c r="G6" s="24"/>
      <c r="H6" s="24"/>
      <c r="I6" s="24"/>
      <c r="J6" s="24"/>
      <c r="K6" s="26"/>
      <c r="L6" s="24"/>
      <c r="M6" s="24"/>
      <c r="N6" s="24"/>
      <c r="O6" s="24"/>
      <c r="P6" s="24"/>
      <c r="Q6" s="24"/>
      <c r="R6" s="24"/>
      <c r="S6" s="24"/>
      <c r="T6" s="24"/>
      <c r="U6" s="26"/>
      <c r="V6" s="24"/>
      <c r="W6" s="24"/>
      <c r="X6" s="24"/>
      <c r="Y6" s="24"/>
      <c r="Z6" s="24"/>
      <c r="AA6" s="24"/>
      <c r="AB6" s="26"/>
      <c r="AC6" s="32"/>
      <c r="AD6" s="32"/>
      <c r="AE6" s="32"/>
      <c r="AF6" s="32"/>
      <c r="AG6" s="32"/>
      <c r="AH6" s="33"/>
      <c r="AI6" s="32"/>
      <c r="AJ6" s="32"/>
      <c r="AK6" s="32"/>
      <c r="AL6" s="32"/>
      <c r="AM6" s="32"/>
      <c r="AN6" s="32"/>
      <c r="AO6" s="33"/>
      <c r="AP6" s="32"/>
      <c r="AQ6" s="32"/>
      <c r="AR6" s="32"/>
      <c r="AS6" s="32"/>
      <c r="AT6" s="32"/>
      <c r="AU6" s="32"/>
      <c r="AV6" s="32"/>
      <c r="AW6" s="33"/>
      <c r="AX6" s="32"/>
      <c r="AY6" s="32"/>
      <c r="AZ6" s="32"/>
      <c r="BA6" s="32"/>
      <c r="BB6" s="32"/>
      <c r="BC6" s="32"/>
      <c r="BD6" s="32"/>
      <c r="BE6" s="32"/>
      <c r="BF6" s="32"/>
      <c r="BG6" s="33"/>
      <c r="BH6" s="32"/>
      <c r="BI6" s="32"/>
      <c r="BJ6" s="32"/>
      <c r="BK6" s="33"/>
      <c r="BL6" s="114"/>
    </row>
    <row r="7" spans="1:64" ht="18.75" x14ac:dyDescent="0.3">
      <c r="A7" s="115" t="s">
        <v>206</v>
      </c>
      <c r="B7" s="116"/>
      <c r="C7" s="43"/>
      <c r="D7" s="44"/>
      <c r="E7" s="44"/>
      <c r="F7" s="44"/>
      <c r="G7" s="44"/>
      <c r="H7" s="44"/>
      <c r="I7" s="44"/>
      <c r="J7" s="44"/>
      <c r="K7" s="45"/>
      <c r="L7" s="44"/>
      <c r="M7" s="44"/>
      <c r="N7" s="44"/>
      <c r="O7" s="44"/>
      <c r="P7" s="44"/>
      <c r="Q7" s="44"/>
      <c r="R7" s="44"/>
      <c r="S7" s="44"/>
      <c r="T7" s="44"/>
      <c r="U7" s="45"/>
      <c r="V7" s="44"/>
      <c r="W7" s="44"/>
      <c r="X7" s="44"/>
      <c r="Y7" s="44"/>
      <c r="Z7" s="44"/>
      <c r="AA7" s="44"/>
      <c r="AB7" s="45"/>
      <c r="AC7" s="44"/>
      <c r="AD7" s="44"/>
      <c r="AE7" s="44"/>
      <c r="AF7" s="44"/>
      <c r="AG7" s="44"/>
      <c r="AH7" s="45"/>
      <c r="AI7" s="44"/>
      <c r="AJ7" s="44"/>
      <c r="AK7" s="44"/>
      <c r="AL7" s="44"/>
      <c r="AM7" s="44"/>
      <c r="AN7" s="44"/>
      <c r="AO7" s="45"/>
      <c r="AP7" s="44"/>
      <c r="AQ7" s="44"/>
      <c r="AR7" s="44"/>
      <c r="AS7" s="44"/>
      <c r="AT7" s="44"/>
      <c r="AU7" s="44"/>
      <c r="AV7" s="44"/>
      <c r="AW7" s="45"/>
      <c r="AX7" s="44"/>
      <c r="AY7" s="44"/>
      <c r="AZ7" s="44"/>
      <c r="BA7" s="44"/>
      <c r="BB7" s="44"/>
      <c r="BC7" s="44"/>
      <c r="BD7" s="44"/>
      <c r="BE7" s="44"/>
      <c r="BF7" s="44"/>
      <c r="BG7" s="45"/>
      <c r="BH7" s="44"/>
      <c r="BI7" s="44"/>
      <c r="BJ7" s="44"/>
      <c r="BK7" s="45"/>
      <c r="BL7" s="117"/>
    </row>
    <row r="8" spans="1:64" x14ac:dyDescent="0.25">
      <c r="A8" s="11"/>
      <c r="B8" s="118">
        <v>2021</v>
      </c>
      <c r="C8" s="119">
        <v>20802574</v>
      </c>
      <c r="D8" s="78"/>
      <c r="E8" s="78"/>
      <c r="F8" s="78">
        <v>672347</v>
      </c>
      <c r="G8" s="78">
        <v>10235</v>
      </c>
      <c r="H8" s="78">
        <v>8605550</v>
      </c>
      <c r="I8" s="78"/>
      <c r="J8" s="78"/>
      <c r="K8" s="120">
        <f>SUM(C8:J8)</f>
        <v>30090706</v>
      </c>
      <c r="L8" s="78"/>
      <c r="M8" s="78"/>
      <c r="N8" s="78"/>
      <c r="O8" s="78"/>
      <c r="P8" s="78"/>
      <c r="Q8" s="78"/>
      <c r="R8" s="78"/>
      <c r="S8" s="78"/>
      <c r="T8" s="78"/>
      <c r="U8" s="120"/>
      <c r="V8" s="78"/>
      <c r="W8" s="78"/>
      <c r="X8" s="78"/>
      <c r="Y8" s="78"/>
      <c r="Z8" s="78"/>
      <c r="AA8" s="78"/>
      <c r="AB8" s="120"/>
      <c r="AC8" s="78"/>
      <c r="AD8" s="78">
        <v>391455</v>
      </c>
      <c r="AE8" s="78"/>
      <c r="AF8" s="78"/>
      <c r="AG8" s="78"/>
      <c r="AH8" s="120">
        <f>SUM(AC8:AG8)</f>
        <v>391455</v>
      </c>
      <c r="AI8" s="78"/>
      <c r="AJ8" s="78"/>
      <c r="AK8" s="78"/>
      <c r="AL8" s="78">
        <v>501050</v>
      </c>
      <c r="AM8" s="78"/>
      <c r="AN8" s="78"/>
      <c r="AO8" s="120">
        <f>SUM(AI8:AN8)</f>
        <v>501050</v>
      </c>
      <c r="AP8" s="78"/>
      <c r="AQ8" s="78">
        <v>4278514</v>
      </c>
      <c r="AR8" s="78">
        <v>7422</v>
      </c>
      <c r="AS8" s="78"/>
      <c r="AT8" s="78"/>
      <c r="AU8" s="78"/>
      <c r="AV8" s="78"/>
      <c r="AW8" s="120">
        <f>SUM(AP8:AV8)</f>
        <v>4285936</v>
      </c>
      <c r="AX8" s="78">
        <v>397336</v>
      </c>
      <c r="AY8" s="78">
        <v>2149523</v>
      </c>
      <c r="AZ8" s="78">
        <v>3505325</v>
      </c>
      <c r="BA8" s="78">
        <v>902115</v>
      </c>
      <c r="BB8" s="78">
        <v>1413709</v>
      </c>
      <c r="BC8" s="78">
        <v>2475217</v>
      </c>
      <c r="BD8" s="78"/>
      <c r="BE8" s="78"/>
      <c r="BF8" s="78">
        <v>2248897</v>
      </c>
      <c r="BG8" s="120">
        <f>SUM(AX8:BF8)</f>
        <v>13092122</v>
      </c>
      <c r="BH8" s="78"/>
      <c r="BI8" s="78">
        <v>605500</v>
      </c>
      <c r="BJ8" s="78"/>
      <c r="BK8" s="120">
        <f>SUM(BI8:BJ8)</f>
        <v>605500</v>
      </c>
      <c r="BL8" s="121">
        <f>K8+U8+AB8+AH8+AO8+AW8+BG8+BK8</f>
        <v>48966769</v>
      </c>
    </row>
    <row r="9" spans="1:64" x14ac:dyDescent="0.25">
      <c r="A9" s="28"/>
      <c r="B9" s="116">
        <v>2022</v>
      </c>
      <c r="C9" s="43">
        <v>22811826</v>
      </c>
      <c r="D9" s="44"/>
      <c r="E9" s="44"/>
      <c r="F9" s="44">
        <v>483324</v>
      </c>
      <c r="G9" s="44">
        <v>11775</v>
      </c>
      <c r="H9" s="44">
        <v>9277373</v>
      </c>
      <c r="I9" s="44"/>
      <c r="J9" s="44"/>
      <c r="K9" s="45">
        <f>SUM(C9:J9)</f>
        <v>32584298</v>
      </c>
      <c r="L9" s="44"/>
      <c r="M9" s="44"/>
      <c r="N9" s="44"/>
      <c r="O9" s="44"/>
      <c r="P9" s="44"/>
      <c r="Q9" s="44"/>
      <c r="R9" s="44"/>
      <c r="S9" s="44"/>
      <c r="T9" s="44"/>
      <c r="U9" s="45"/>
      <c r="V9" s="44"/>
      <c r="W9" s="44"/>
      <c r="X9" s="44"/>
      <c r="Y9" s="44"/>
      <c r="Z9" s="44"/>
      <c r="AA9" s="44"/>
      <c r="AB9" s="45"/>
      <c r="AC9" s="44"/>
      <c r="AD9" s="44">
        <v>568928</v>
      </c>
      <c r="AE9" s="44"/>
      <c r="AF9" s="44"/>
      <c r="AG9" s="44"/>
      <c r="AH9" s="45">
        <f>SUM(AC9:AG9)</f>
        <v>568928</v>
      </c>
      <c r="AI9" s="44"/>
      <c r="AJ9" s="44"/>
      <c r="AK9" s="44"/>
      <c r="AL9" s="44">
        <v>568562</v>
      </c>
      <c r="AM9" s="44"/>
      <c r="AN9" s="44"/>
      <c r="AO9" s="45">
        <f>SUM(AI9:AN9)</f>
        <v>568562</v>
      </c>
      <c r="AP9" s="44"/>
      <c r="AQ9" s="44">
        <v>5385751</v>
      </c>
      <c r="AR9" s="44">
        <v>1619</v>
      </c>
      <c r="AS9" s="44"/>
      <c r="AT9" s="44"/>
      <c r="AU9" s="44"/>
      <c r="AV9" s="44"/>
      <c r="AW9" s="45">
        <f>SUM(AP9:AV9)</f>
        <v>5387370</v>
      </c>
      <c r="AX9" s="44">
        <v>440490</v>
      </c>
      <c r="AY9" s="44">
        <v>2242823</v>
      </c>
      <c r="AZ9" s="44">
        <v>3827091</v>
      </c>
      <c r="BA9" s="44">
        <v>1050204</v>
      </c>
      <c r="BB9" s="44">
        <v>1298175</v>
      </c>
      <c r="BC9" s="44">
        <v>2843668</v>
      </c>
      <c r="BD9" s="44"/>
      <c r="BE9" s="44"/>
      <c r="BF9" s="44">
        <v>2670411</v>
      </c>
      <c r="BG9" s="45">
        <f>SUM(AX9:BF9)</f>
        <v>14372862</v>
      </c>
      <c r="BH9" s="44"/>
      <c r="BI9" s="44">
        <v>480500</v>
      </c>
      <c r="BJ9" s="44"/>
      <c r="BK9" s="45">
        <f>SUM(BI9:BJ9)</f>
        <v>480500</v>
      </c>
      <c r="BL9" s="122">
        <f>K9+U9+AB9+AH9+AO9+AW9+BG9+BK9</f>
        <v>53962520</v>
      </c>
    </row>
    <row r="10" spans="1:64" x14ac:dyDescent="0.25">
      <c r="B10" s="118">
        <v>2023</v>
      </c>
      <c r="C10" s="119">
        <v>26755656</v>
      </c>
      <c r="D10" s="78"/>
      <c r="E10" s="78"/>
      <c r="F10" s="78">
        <v>449858</v>
      </c>
      <c r="G10" s="78">
        <v>6600</v>
      </c>
      <c r="H10" s="78">
        <v>10794706</v>
      </c>
      <c r="I10" s="78"/>
      <c r="J10" s="78"/>
      <c r="K10" s="120">
        <f>SUM(C10:J10)</f>
        <v>38006820</v>
      </c>
      <c r="L10" s="78"/>
      <c r="M10" s="78"/>
      <c r="N10" s="78"/>
      <c r="O10" s="78"/>
      <c r="P10" s="78"/>
      <c r="Q10" s="78"/>
      <c r="R10" s="78"/>
      <c r="S10" s="78"/>
      <c r="T10" s="78"/>
      <c r="U10" s="120"/>
      <c r="V10" s="78"/>
      <c r="W10" s="78"/>
      <c r="X10" s="78"/>
      <c r="Y10" s="78"/>
      <c r="Z10" s="78"/>
      <c r="AA10" s="78"/>
      <c r="AB10" s="120"/>
      <c r="AC10" s="78"/>
      <c r="AD10" s="78">
        <v>625667</v>
      </c>
      <c r="AE10" s="78"/>
      <c r="AF10" s="78"/>
      <c r="AG10" s="78"/>
      <c r="AH10" s="120">
        <f>SUM(AC10:AG10)</f>
        <v>625667</v>
      </c>
      <c r="AI10" s="78"/>
      <c r="AJ10" s="78"/>
      <c r="AK10" s="78"/>
      <c r="AL10" s="78">
        <v>545585</v>
      </c>
      <c r="AM10" s="78"/>
      <c r="AN10" s="78"/>
      <c r="AO10" s="120">
        <f>SUM(AI10:AN10)</f>
        <v>545585</v>
      </c>
      <c r="AP10" s="78"/>
      <c r="AQ10" s="78">
        <v>6091203</v>
      </c>
      <c r="AR10" s="78">
        <v>460</v>
      </c>
      <c r="AS10" s="78"/>
      <c r="AT10" s="78"/>
      <c r="AU10" s="78"/>
      <c r="AV10" s="78"/>
      <c r="AW10" s="120">
        <f>SUM(AP10:AV10)</f>
        <v>6091663</v>
      </c>
      <c r="AX10" s="78">
        <v>496641</v>
      </c>
      <c r="AY10" s="78">
        <v>3332835</v>
      </c>
      <c r="AZ10" s="78">
        <v>4660989</v>
      </c>
      <c r="BA10" s="78">
        <v>1333456</v>
      </c>
      <c r="BB10" s="78">
        <v>1326660</v>
      </c>
      <c r="BC10" s="78">
        <v>4106756</v>
      </c>
      <c r="BD10" s="78"/>
      <c r="BE10" s="78"/>
      <c r="BF10" s="78">
        <v>4937932</v>
      </c>
      <c r="BG10" s="120">
        <f>SUM(AX10:BF10)</f>
        <v>20195269</v>
      </c>
      <c r="BH10" s="78"/>
      <c r="BI10" s="78">
        <v>658000</v>
      </c>
      <c r="BJ10" s="78"/>
      <c r="BK10" s="120">
        <f>SUM(BI10:BJ10)</f>
        <v>658000</v>
      </c>
      <c r="BL10" s="121">
        <f>K10+U10+AB10+AH10+AO10+AW10+BG10+BK10</f>
        <v>66123004</v>
      </c>
    </row>
    <row r="11" spans="1:64" x14ac:dyDescent="0.25">
      <c r="A11" s="27"/>
      <c r="B11" s="116">
        <v>2024</v>
      </c>
      <c r="C11" s="43">
        <f>27947256+3674839+817175+251326</f>
        <v>32690596</v>
      </c>
      <c r="D11" s="44"/>
      <c r="E11" s="44"/>
      <c r="F11" s="44">
        <f>372674+117586</f>
        <v>490260</v>
      </c>
      <c r="G11" s="44">
        <v>6107</v>
      </c>
      <c r="H11" s="44">
        <f>10209740+1628674+99471</f>
        <v>11937885</v>
      </c>
      <c r="I11" s="44"/>
      <c r="J11" s="44"/>
      <c r="K11" s="45">
        <f>SUM(C11:J11)</f>
        <v>45124848</v>
      </c>
      <c r="L11" s="44"/>
      <c r="M11" s="44"/>
      <c r="N11" s="44"/>
      <c r="O11" s="44"/>
      <c r="P11" s="44"/>
      <c r="Q11" s="44"/>
      <c r="R11" s="44"/>
      <c r="S11" s="44"/>
      <c r="T11" s="44"/>
      <c r="U11" s="45"/>
      <c r="V11" s="44"/>
      <c r="W11" s="44"/>
      <c r="X11" s="44"/>
      <c r="Y11" s="44"/>
      <c r="Z11" s="44"/>
      <c r="AA11" s="44"/>
      <c r="AB11" s="45"/>
      <c r="AC11" s="44"/>
      <c r="AD11" s="44">
        <f>369084+243698</f>
        <v>612782</v>
      </c>
      <c r="AE11" s="44"/>
      <c r="AF11" s="44"/>
      <c r="AG11" s="44"/>
      <c r="AH11" s="45">
        <f>SUM(AC11:AG11)</f>
        <v>612782</v>
      </c>
      <c r="AI11" s="44"/>
      <c r="AJ11" s="44"/>
      <c r="AK11" s="44"/>
      <c r="AL11" s="44">
        <f>561692+53127+18900</f>
        <v>633719</v>
      </c>
      <c r="AM11" s="44"/>
      <c r="AN11" s="44"/>
      <c r="AO11" s="45">
        <f>SUM(AI11:AN11)</f>
        <v>633719</v>
      </c>
      <c r="AP11" s="44"/>
      <c r="AQ11" s="44">
        <f>4920233+3239660+648401</f>
        <v>8808294</v>
      </c>
      <c r="AR11" s="44">
        <f>5140+23695</f>
        <v>28835</v>
      </c>
      <c r="AS11" s="44"/>
      <c r="AT11" s="44"/>
      <c r="AU11" s="44"/>
      <c r="AV11" s="44"/>
      <c r="AW11" s="45">
        <f>SUM(AP11:AV11)</f>
        <v>8837129</v>
      </c>
      <c r="AX11" s="44">
        <f>396994+115817</f>
        <v>512811</v>
      </c>
      <c r="AY11" s="44">
        <f>3306547+366342</f>
        <v>3672889</v>
      </c>
      <c r="AZ11" s="44">
        <f>4067651+1614520</f>
        <v>5682171</v>
      </c>
      <c r="BA11" s="44">
        <f>1499227+211552+25199+8160</f>
        <v>1744138</v>
      </c>
      <c r="BB11" s="44">
        <f>1470019+347024</f>
        <v>1817043</v>
      </c>
      <c r="BC11" s="44">
        <f>2179262+1524038+802836+409924</f>
        <v>4916060</v>
      </c>
      <c r="BD11" s="44"/>
      <c r="BE11" s="44"/>
      <c r="BF11" s="44">
        <f>1185658+2559554+66793</f>
        <v>3812005</v>
      </c>
      <c r="BG11" s="45">
        <f>SUM(AX11:BF11)</f>
        <v>22157117</v>
      </c>
      <c r="BH11" s="44"/>
      <c r="BI11" s="44">
        <v>658000</v>
      </c>
      <c r="BJ11" s="44"/>
      <c r="BK11" s="45">
        <f>SUM(BI11:BJ11)</f>
        <v>658000</v>
      </c>
      <c r="BL11" s="122">
        <f>K11+U11+AB11+AH11+AO11+AW11+BG11+BK11</f>
        <v>78023595</v>
      </c>
    </row>
    <row r="12" spans="1:64" ht="18.75" x14ac:dyDescent="0.3">
      <c r="A12" s="123" t="s">
        <v>207</v>
      </c>
      <c r="B12" s="118"/>
      <c r="C12" s="119"/>
      <c r="D12" s="78"/>
      <c r="E12" s="78"/>
      <c r="F12" s="78"/>
      <c r="G12" s="78"/>
      <c r="H12" s="78"/>
      <c r="I12" s="78"/>
      <c r="J12" s="78"/>
      <c r="K12" s="120"/>
      <c r="L12" s="78"/>
      <c r="M12" s="78"/>
      <c r="N12" s="78"/>
      <c r="O12" s="78"/>
      <c r="P12" s="78"/>
      <c r="Q12" s="78"/>
      <c r="R12" s="78"/>
      <c r="S12" s="78"/>
      <c r="T12" s="78"/>
      <c r="U12" s="120"/>
      <c r="V12" s="78"/>
      <c r="W12" s="78"/>
      <c r="X12" s="78"/>
      <c r="Y12" s="78"/>
      <c r="Z12" s="78"/>
      <c r="AA12" s="78"/>
      <c r="AB12" s="120"/>
      <c r="AC12" s="78"/>
      <c r="AD12" s="78"/>
      <c r="AE12" s="78"/>
      <c r="AF12" s="78"/>
      <c r="AG12" s="78"/>
      <c r="AH12" s="120"/>
      <c r="AI12" s="78"/>
      <c r="AJ12" s="78"/>
      <c r="AK12" s="78"/>
      <c r="AL12" s="78"/>
      <c r="AM12" s="78"/>
      <c r="AN12" s="78"/>
      <c r="AO12" s="120"/>
      <c r="AP12" s="78"/>
      <c r="AQ12" s="78"/>
      <c r="AR12" s="78"/>
      <c r="AS12" s="78"/>
      <c r="AT12" s="78"/>
      <c r="AU12" s="78"/>
      <c r="AV12" s="78"/>
      <c r="AW12" s="120"/>
      <c r="AX12" s="78"/>
      <c r="AY12" s="78"/>
      <c r="AZ12" s="78"/>
      <c r="BA12" s="78"/>
      <c r="BB12" s="78"/>
      <c r="BC12" s="78"/>
      <c r="BD12" s="78"/>
      <c r="BE12" s="78"/>
      <c r="BF12" s="78"/>
      <c r="BG12" s="120"/>
      <c r="BH12" s="78"/>
      <c r="BI12" s="78"/>
      <c r="BJ12" s="78"/>
      <c r="BK12" s="120"/>
      <c r="BL12" s="117"/>
    </row>
    <row r="13" spans="1:64" x14ac:dyDescent="0.25">
      <c r="A13" s="28"/>
      <c r="B13" s="116">
        <v>2021</v>
      </c>
      <c r="C13" s="43">
        <v>22324</v>
      </c>
      <c r="D13" s="44">
        <v>10533220</v>
      </c>
      <c r="E13" s="44"/>
      <c r="F13" s="44">
        <v>3854210</v>
      </c>
      <c r="G13" s="44"/>
      <c r="H13" s="44"/>
      <c r="I13" s="44"/>
      <c r="J13" s="44"/>
      <c r="K13" s="45">
        <f>SUM(C13:J13)</f>
        <v>14409754</v>
      </c>
      <c r="L13" s="44"/>
      <c r="M13" s="44"/>
      <c r="N13" s="44"/>
      <c r="O13" s="44">
        <v>8540136</v>
      </c>
      <c r="P13" s="44"/>
      <c r="Q13" s="44"/>
      <c r="R13" s="44">
        <v>97868</v>
      </c>
      <c r="S13" s="44">
        <v>4647399</v>
      </c>
      <c r="T13" s="44"/>
      <c r="U13" s="45">
        <f>SUM(L13:T13)</f>
        <v>13285403</v>
      </c>
      <c r="V13" s="44">
        <v>10667632</v>
      </c>
      <c r="W13" s="44"/>
      <c r="X13" s="44"/>
      <c r="Y13" s="44"/>
      <c r="Z13" s="44"/>
      <c r="AA13" s="44"/>
      <c r="AB13" s="45">
        <f>SUM(V13:AA13)</f>
        <v>10667632</v>
      </c>
      <c r="AC13" s="44"/>
      <c r="AD13" s="44"/>
      <c r="AE13" s="44"/>
      <c r="AF13" s="44"/>
      <c r="AG13" s="44"/>
      <c r="AH13" s="45"/>
      <c r="AI13" s="44"/>
      <c r="AJ13" s="44"/>
      <c r="AK13" s="44"/>
      <c r="AL13" s="44"/>
      <c r="AM13" s="44"/>
      <c r="AN13" s="44"/>
      <c r="AO13" s="45"/>
      <c r="AP13" s="44"/>
      <c r="AQ13" s="44">
        <v>901228</v>
      </c>
      <c r="AR13" s="44"/>
      <c r="AS13" s="44"/>
      <c r="AT13" s="44"/>
      <c r="AU13" s="44"/>
      <c r="AV13" s="44"/>
      <c r="AW13" s="45">
        <f>SUM(AP13:AV13)</f>
        <v>901228</v>
      </c>
      <c r="AX13" s="44"/>
      <c r="AY13" s="44"/>
      <c r="AZ13" s="44"/>
      <c r="BA13" s="44"/>
      <c r="BB13" s="44"/>
      <c r="BC13" s="44"/>
      <c r="BD13" s="44"/>
      <c r="BE13" s="44"/>
      <c r="BF13" s="44">
        <v>5117664</v>
      </c>
      <c r="BG13" s="45">
        <f>SUM(AX13:BF13)</f>
        <v>5117664</v>
      </c>
      <c r="BH13" s="44"/>
      <c r="BI13" s="44">
        <v>3050610</v>
      </c>
      <c r="BJ13" s="44"/>
      <c r="BK13" s="45">
        <f>SUM(BH13:BJ13)</f>
        <v>3050610</v>
      </c>
      <c r="BL13" s="122">
        <f>K13+U13+AB13+AH13+AO13+AW13+BG13+BK13</f>
        <v>47432291</v>
      </c>
    </row>
    <row r="14" spans="1:64" x14ac:dyDescent="0.25">
      <c r="B14" s="118">
        <v>2022</v>
      </c>
      <c r="C14" s="119">
        <v>318287</v>
      </c>
      <c r="D14" s="78">
        <v>11550011</v>
      </c>
      <c r="E14" s="78"/>
      <c r="F14" s="78">
        <v>4082241</v>
      </c>
      <c r="G14" s="78"/>
      <c r="H14" s="78"/>
      <c r="I14" s="78"/>
      <c r="J14" s="78"/>
      <c r="K14" s="120">
        <f>SUM(C14:J14)</f>
        <v>15950539</v>
      </c>
      <c r="L14" s="78" t="s">
        <v>7</v>
      </c>
      <c r="M14" s="78"/>
      <c r="N14" s="78"/>
      <c r="O14" s="78">
        <v>9759317</v>
      </c>
      <c r="P14" s="78"/>
      <c r="Q14" s="78"/>
      <c r="R14" s="78">
        <v>115125</v>
      </c>
      <c r="S14" s="78">
        <v>6219788</v>
      </c>
      <c r="T14" s="78"/>
      <c r="U14" s="120">
        <f>SUM(L14:T14)</f>
        <v>16094230</v>
      </c>
      <c r="V14" s="78">
        <v>11956382</v>
      </c>
      <c r="W14" s="78"/>
      <c r="X14" s="78"/>
      <c r="Y14" s="78"/>
      <c r="Z14" s="78"/>
      <c r="AA14" s="78"/>
      <c r="AB14" s="120">
        <f>SUM(V14:AA14)</f>
        <v>11956382</v>
      </c>
      <c r="AC14" s="78"/>
      <c r="AD14" s="78"/>
      <c r="AE14" s="78"/>
      <c r="AF14" s="78"/>
      <c r="AG14" s="78"/>
      <c r="AH14" s="120"/>
      <c r="AI14" s="78"/>
      <c r="AJ14" s="78"/>
      <c r="AK14" s="78"/>
      <c r="AL14" s="78"/>
      <c r="AM14" s="78"/>
      <c r="AN14" s="78"/>
      <c r="AO14" s="120"/>
      <c r="AP14" s="78"/>
      <c r="AQ14" s="78">
        <v>913337</v>
      </c>
      <c r="AR14" s="78"/>
      <c r="AS14" s="78"/>
      <c r="AT14" s="78"/>
      <c r="AU14" s="78"/>
      <c r="AV14" s="78"/>
      <c r="AW14" s="120">
        <f>SUM(AP14:AV14)</f>
        <v>913337</v>
      </c>
      <c r="AX14" s="78"/>
      <c r="AY14" s="78"/>
      <c r="AZ14" s="78"/>
      <c r="BA14" s="78"/>
      <c r="BB14" s="78"/>
      <c r="BC14" s="78"/>
      <c r="BD14" s="78"/>
      <c r="BE14" s="78"/>
      <c r="BF14" s="78">
        <v>5961449</v>
      </c>
      <c r="BG14" s="120">
        <f>SUM(AX14:BF14)</f>
        <v>5961449</v>
      </c>
      <c r="BH14" s="78"/>
      <c r="BI14" s="78">
        <v>6400630</v>
      </c>
      <c r="BJ14" s="78"/>
      <c r="BK14" s="120">
        <f>SUM(BH14:BJ14)</f>
        <v>6400630</v>
      </c>
      <c r="BL14" s="121">
        <f>K14+U14+AB14+AH14+AO14+AW14+BG14+BK14</f>
        <v>57276567</v>
      </c>
    </row>
    <row r="15" spans="1:64" x14ac:dyDescent="0.25">
      <c r="A15" s="27"/>
      <c r="B15" s="116">
        <v>2023</v>
      </c>
      <c r="C15" s="43">
        <v>212249</v>
      </c>
      <c r="D15" s="44">
        <v>13451714</v>
      </c>
      <c r="E15" s="44"/>
      <c r="F15" s="44">
        <v>7078922</v>
      </c>
      <c r="G15" s="44"/>
      <c r="H15" s="44"/>
      <c r="I15" s="44"/>
      <c r="J15" s="44"/>
      <c r="K15" s="45">
        <f>SUM(C15:J15)</f>
        <v>20742885</v>
      </c>
      <c r="L15" s="44"/>
      <c r="M15" s="44"/>
      <c r="N15" s="44"/>
      <c r="O15" s="44">
        <v>12765988</v>
      </c>
      <c r="P15" s="44"/>
      <c r="Q15" s="44"/>
      <c r="R15" s="44">
        <v>326931</v>
      </c>
      <c r="S15" s="44">
        <v>22795948</v>
      </c>
      <c r="T15" s="44"/>
      <c r="U15" s="45">
        <f>SUM(L15:T15)</f>
        <v>35888867</v>
      </c>
      <c r="V15" s="44">
        <v>46841564</v>
      </c>
      <c r="W15" s="44"/>
      <c r="X15" s="44"/>
      <c r="Y15" s="44"/>
      <c r="Z15" s="44"/>
      <c r="AA15" s="44"/>
      <c r="AB15" s="45">
        <f>SUM(V15:AA15)</f>
        <v>46841564</v>
      </c>
      <c r="AC15" s="44"/>
      <c r="AD15" s="44"/>
      <c r="AE15" s="44"/>
      <c r="AF15" s="44"/>
      <c r="AG15" s="44"/>
      <c r="AH15" s="45"/>
      <c r="AI15" s="44"/>
      <c r="AJ15" s="44"/>
      <c r="AK15" s="44"/>
      <c r="AL15" s="44"/>
      <c r="AM15" s="44"/>
      <c r="AN15" s="44"/>
      <c r="AO15" s="45"/>
      <c r="AP15" s="44"/>
      <c r="AQ15" s="44">
        <v>960318</v>
      </c>
      <c r="AR15" s="44"/>
      <c r="AS15" s="44"/>
      <c r="AT15" s="44"/>
      <c r="AU15" s="44"/>
      <c r="AV15" s="44"/>
      <c r="AW15" s="45">
        <f>SUM(AP15:AV15)</f>
        <v>960318</v>
      </c>
      <c r="AX15" s="44"/>
      <c r="AY15" s="44"/>
      <c r="AZ15" s="44"/>
      <c r="BA15" s="44"/>
      <c r="BB15" s="44"/>
      <c r="BC15" s="44"/>
      <c r="BD15" s="44"/>
      <c r="BE15" s="44"/>
      <c r="BF15" s="44">
        <v>6784958</v>
      </c>
      <c r="BG15" s="45">
        <f>SUM(AX15:BF15)</f>
        <v>6784958</v>
      </c>
      <c r="BH15" s="44"/>
      <c r="BI15" s="44">
        <v>2868870</v>
      </c>
      <c r="BJ15" s="44"/>
      <c r="BK15" s="45">
        <f>SUM(BH15:BJ15)</f>
        <v>2868870</v>
      </c>
      <c r="BL15" s="122">
        <f>K15+U15+AB15+AH15+AO15+AW15+BG15+BK15</f>
        <v>114087462</v>
      </c>
    </row>
    <row r="16" spans="1:64" x14ac:dyDescent="0.25">
      <c r="A16" s="11"/>
      <c r="B16" s="118">
        <v>2024</v>
      </c>
      <c r="C16" s="119">
        <f>75184+35300</f>
        <v>110484</v>
      </c>
      <c r="D16" s="78">
        <f>10929624+3374980+142755</f>
        <v>14447359</v>
      </c>
      <c r="E16" s="78"/>
      <c r="F16" s="78">
        <f>4424051+1687491+2293587+210477</f>
        <v>8615606</v>
      </c>
      <c r="G16" s="78"/>
      <c r="H16" s="78"/>
      <c r="I16" s="78"/>
      <c r="J16" s="78"/>
      <c r="K16" s="120">
        <f>SUM(C16:J16)</f>
        <v>23173449</v>
      </c>
      <c r="L16" s="78"/>
      <c r="M16" s="78"/>
      <c r="N16" s="78"/>
      <c r="O16" s="78">
        <f>4187277+7897947+34139</f>
        <v>12119363</v>
      </c>
      <c r="P16" s="78"/>
      <c r="Q16" s="78"/>
      <c r="R16" s="78">
        <f>893443+86673+172</f>
        <v>980288</v>
      </c>
      <c r="S16" s="78">
        <f>2991898+3518202+4414435</f>
        <v>10924535</v>
      </c>
      <c r="T16" s="78"/>
      <c r="U16" s="120">
        <f>SUM(L16:T16)</f>
        <v>24024186</v>
      </c>
      <c r="V16" s="78">
        <f>6074460+7190816+2117347</f>
        <v>15382623</v>
      </c>
      <c r="W16" s="78"/>
      <c r="X16" s="78"/>
      <c r="Y16" s="78"/>
      <c r="Z16" s="78"/>
      <c r="AA16" s="78"/>
      <c r="AB16" s="120">
        <f>SUM(V16:AA16)</f>
        <v>15382623</v>
      </c>
      <c r="AC16" s="78"/>
      <c r="AD16" s="78"/>
      <c r="AE16" s="78"/>
      <c r="AF16" s="78"/>
      <c r="AG16" s="78"/>
      <c r="AH16" s="120"/>
      <c r="AI16" s="78"/>
      <c r="AJ16" s="78"/>
      <c r="AK16" s="78"/>
      <c r="AL16" s="78"/>
      <c r="AM16" s="78"/>
      <c r="AN16" s="78"/>
      <c r="AO16" s="120"/>
      <c r="AP16" s="78"/>
      <c r="AQ16" s="78">
        <f>440902+814978+12824</f>
        <v>1268704</v>
      </c>
      <c r="AR16" s="78"/>
      <c r="AS16" s="78"/>
      <c r="AT16" s="78"/>
      <c r="AU16" s="78"/>
      <c r="AV16" s="78"/>
      <c r="AW16" s="120">
        <f>SUM(AP16:AV16)</f>
        <v>1268704</v>
      </c>
      <c r="AX16" s="78"/>
      <c r="AY16" s="78"/>
      <c r="AZ16" s="78"/>
      <c r="BA16" s="78"/>
      <c r="BB16" s="78"/>
      <c r="BC16" s="78"/>
      <c r="BD16" s="78"/>
      <c r="BE16" s="78"/>
      <c r="BF16" s="78">
        <f>1835714+5531901+26898</f>
        <v>7394513</v>
      </c>
      <c r="BG16" s="120">
        <f>SUM(AX16:BF16)</f>
        <v>7394513</v>
      </c>
      <c r="BH16" s="78"/>
      <c r="BI16" s="78">
        <v>5138970</v>
      </c>
      <c r="BJ16" s="78"/>
      <c r="BK16" s="120">
        <f>SUM(BH16:BJ16)</f>
        <v>5138970</v>
      </c>
      <c r="BL16" s="121">
        <f>K16+U16+AB16+AH16+AO16+AW16+BG16+BK16</f>
        <v>76382445</v>
      </c>
    </row>
    <row r="17" spans="1:64" ht="18.75" x14ac:dyDescent="0.3">
      <c r="A17" s="115" t="s">
        <v>208</v>
      </c>
      <c r="B17" s="116"/>
      <c r="C17" s="43"/>
      <c r="D17" s="44"/>
      <c r="E17" s="44"/>
      <c r="F17" s="44"/>
      <c r="G17" s="44"/>
      <c r="H17" s="44"/>
      <c r="I17" s="44"/>
      <c r="J17" s="44"/>
      <c r="K17" s="45"/>
      <c r="L17" s="44"/>
      <c r="M17" s="44"/>
      <c r="N17" s="44"/>
      <c r="O17" s="44"/>
      <c r="P17" s="44"/>
      <c r="Q17" s="44"/>
      <c r="R17" s="44"/>
      <c r="S17" s="44"/>
      <c r="T17" s="44"/>
      <c r="U17" s="45"/>
      <c r="V17" s="44"/>
      <c r="W17" s="44"/>
      <c r="X17" s="44"/>
      <c r="Y17" s="44"/>
      <c r="Z17" s="44"/>
      <c r="AA17" s="44"/>
      <c r="AB17" s="45"/>
      <c r="AC17" s="44"/>
      <c r="AD17" s="44"/>
      <c r="AE17" s="44"/>
      <c r="AF17" s="44"/>
      <c r="AG17" s="44"/>
      <c r="AH17" s="45"/>
      <c r="AI17" s="44"/>
      <c r="AJ17" s="44"/>
      <c r="AK17" s="44"/>
      <c r="AL17" s="44"/>
      <c r="AM17" s="44"/>
      <c r="AN17" s="44"/>
      <c r="AO17" s="45"/>
      <c r="AP17" s="44"/>
      <c r="AQ17" s="44"/>
      <c r="AR17" s="44"/>
      <c r="AS17" s="44"/>
      <c r="AT17" s="44"/>
      <c r="AU17" s="44"/>
      <c r="AV17" s="44"/>
      <c r="AW17" s="45"/>
      <c r="AX17" s="44"/>
      <c r="AY17" s="44"/>
      <c r="AZ17" s="44"/>
      <c r="BA17" s="44"/>
      <c r="BB17" s="44"/>
      <c r="BC17" s="44"/>
      <c r="BD17" s="44"/>
      <c r="BE17" s="44"/>
      <c r="BF17" s="44"/>
      <c r="BG17" s="45"/>
      <c r="BH17" s="44"/>
      <c r="BI17" s="44"/>
      <c r="BJ17" s="44"/>
      <c r="BK17" s="45"/>
      <c r="BL17" s="124"/>
    </row>
    <row r="18" spans="1:64" x14ac:dyDescent="0.25">
      <c r="B18" s="118">
        <v>2021</v>
      </c>
      <c r="C18" s="119"/>
      <c r="D18" s="78"/>
      <c r="E18" s="78"/>
      <c r="F18" s="78"/>
      <c r="G18" s="78"/>
      <c r="H18" s="78"/>
      <c r="I18" s="78"/>
      <c r="J18" s="78"/>
      <c r="K18" s="120"/>
      <c r="L18" s="78"/>
      <c r="M18" s="78"/>
      <c r="N18" s="78"/>
      <c r="O18" s="78"/>
      <c r="P18" s="78"/>
      <c r="Q18" s="78"/>
      <c r="R18" s="78"/>
      <c r="S18" s="78"/>
      <c r="T18" s="78"/>
      <c r="U18" s="120"/>
      <c r="V18" s="78">
        <v>2670957</v>
      </c>
      <c r="W18" s="78"/>
      <c r="X18" s="78"/>
      <c r="Y18" s="78"/>
      <c r="Z18" s="78"/>
      <c r="AA18" s="78"/>
      <c r="AB18" s="120">
        <f>SUM(V18:AA18)</f>
        <v>2670957</v>
      </c>
      <c r="AC18" s="78"/>
      <c r="AD18" s="78"/>
      <c r="AE18" s="78"/>
      <c r="AF18" s="78"/>
      <c r="AG18" s="78"/>
      <c r="AH18" s="120"/>
      <c r="AI18" s="78"/>
      <c r="AJ18" s="78"/>
      <c r="AK18" s="78"/>
      <c r="AL18" s="78"/>
      <c r="AM18" s="78"/>
      <c r="AN18" s="78"/>
      <c r="AO18" s="120"/>
      <c r="AP18" s="78"/>
      <c r="AQ18" s="78"/>
      <c r="AR18" s="78"/>
      <c r="AS18" s="78"/>
      <c r="AT18" s="78"/>
      <c r="AU18" s="78"/>
      <c r="AV18" s="78"/>
      <c r="AW18" s="120"/>
      <c r="AX18" s="78"/>
      <c r="AY18" s="78"/>
      <c r="AZ18" s="78"/>
      <c r="BA18" s="78"/>
      <c r="BB18" s="78"/>
      <c r="BC18" s="78"/>
      <c r="BD18" s="78"/>
      <c r="BE18" s="78"/>
      <c r="BF18" s="78"/>
      <c r="BG18" s="120"/>
      <c r="BH18" s="78"/>
      <c r="BI18" s="78"/>
      <c r="BJ18" s="78"/>
      <c r="BK18" s="120"/>
      <c r="BL18" s="121">
        <f>K18+U18+AB18+AH18+AO18+AW18+BG18+BK18</f>
        <v>2670957</v>
      </c>
    </row>
    <row r="19" spans="1:64" x14ac:dyDescent="0.25">
      <c r="A19" s="27"/>
      <c r="B19" s="116">
        <v>2022</v>
      </c>
      <c r="C19" s="43"/>
      <c r="D19" s="44"/>
      <c r="E19" s="44"/>
      <c r="F19" s="44"/>
      <c r="G19" s="44"/>
      <c r="H19" s="44"/>
      <c r="I19" s="44"/>
      <c r="J19" s="44"/>
      <c r="K19" s="45"/>
      <c r="L19" s="44"/>
      <c r="M19" s="44"/>
      <c r="N19" s="44"/>
      <c r="O19" s="44"/>
      <c r="P19" s="44"/>
      <c r="Q19" s="44"/>
      <c r="R19" s="44"/>
      <c r="S19" s="44"/>
      <c r="T19" s="44"/>
      <c r="U19" s="45"/>
      <c r="V19" s="44">
        <v>2663657</v>
      </c>
      <c r="W19" s="44"/>
      <c r="X19" s="44"/>
      <c r="Y19" s="44"/>
      <c r="Z19" s="44"/>
      <c r="AA19" s="44"/>
      <c r="AB19" s="45">
        <f>SUM(V19:AA19)</f>
        <v>2663657</v>
      </c>
      <c r="AC19" s="44"/>
      <c r="AD19" s="44"/>
      <c r="AE19" s="44"/>
      <c r="AF19" s="44"/>
      <c r="AG19" s="44"/>
      <c r="AH19" s="45"/>
      <c r="AI19" s="44"/>
      <c r="AJ19" s="44"/>
      <c r="AK19" s="44"/>
      <c r="AL19" s="44"/>
      <c r="AM19" s="44"/>
      <c r="AN19" s="44"/>
      <c r="AO19" s="45"/>
      <c r="AP19" s="44"/>
      <c r="AQ19" s="44"/>
      <c r="AR19" s="44"/>
      <c r="AS19" s="44"/>
      <c r="AT19" s="44"/>
      <c r="AU19" s="44"/>
      <c r="AV19" s="44"/>
      <c r="AW19" s="45"/>
      <c r="AX19" s="44"/>
      <c r="AY19" s="44"/>
      <c r="AZ19" s="44"/>
      <c r="BA19" s="44"/>
      <c r="BB19" s="44"/>
      <c r="BC19" s="44"/>
      <c r="BD19" s="44"/>
      <c r="BE19" s="44"/>
      <c r="BF19" s="44"/>
      <c r="BG19" s="45"/>
      <c r="BH19" s="44"/>
      <c r="BI19" s="44"/>
      <c r="BJ19" s="44"/>
      <c r="BK19" s="45"/>
      <c r="BL19" s="122">
        <f>K19+U19+AB19+AH19+AO19+AW19+BG19+BK19</f>
        <v>2663657</v>
      </c>
    </row>
    <row r="20" spans="1:64" x14ac:dyDescent="0.25">
      <c r="A20" s="11"/>
      <c r="B20" s="118">
        <v>2023</v>
      </c>
      <c r="C20" s="119"/>
      <c r="D20" s="78"/>
      <c r="E20" s="78"/>
      <c r="F20" s="78"/>
      <c r="G20" s="78"/>
      <c r="H20" s="78"/>
      <c r="I20" s="78"/>
      <c r="J20" s="78"/>
      <c r="K20" s="120"/>
      <c r="L20" s="78"/>
      <c r="M20" s="78"/>
      <c r="N20" s="78"/>
      <c r="O20" s="78"/>
      <c r="P20" s="78"/>
      <c r="Q20" s="78"/>
      <c r="R20" s="78"/>
      <c r="S20" s="78"/>
      <c r="T20" s="78"/>
      <c r="U20" s="120"/>
      <c r="V20" s="78">
        <v>2657067</v>
      </c>
      <c r="W20" s="78"/>
      <c r="X20" s="78"/>
      <c r="Y20" s="78"/>
      <c r="Z20" s="78"/>
      <c r="AA20" s="78"/>
      <c r="AB20" s="120">
        <f>SUM(V20:AA20)</f>
        <v>2657067</v>
      </c>
      <c r="AC20" s="78"/>
      <c r="AD20" s="78"/>
      <c r="AE20" s="78"/>
      <c r="AF20" s="78"/>
      <c r="AG20" s="78"/>
      <c r="AH20" s="120"/>
      <c r="AI20" s="78"/>
      <c r="AJ20" s="78"/>
      <c r="AK20" s="78"/>
      <c r="AL20" s="78"/>
      <c r="AM20" s="78"/>
      <c r="AN20" s="78"/>
      <c r="AO20" s="120"/>
      <c r="AP20" s="78"/>
      <c r="AQ20" s="78"/>
      <c r="AR20" s="78"/>
      <c r="AS20" s="78"/>
      <c r="AT20" s="78"/>
      <c r="AU20" s="78"/>
      <c r="AV20" s="78"/>
      <c r="AW20" s="120"/>
      <c r="AX20" s="78"/>
      <c r="AY20" s="78"/>
      <c r="AZ20" s="78"/>
      <c r="BA20" s="78"/>
      <c r="BB20" s="78"/>
      <c r="BC20" s="78"/>
      <c r="BD20" s="78"/>
      <c r="BE20" s="78"/>
      <c r="BF20" s="78"/>
      <c r="BG20" s="120"/>
      <c r="BH20" s="78">
        <v>29925000</v>
      </c>
      <c r="BI20" s="78"/>
      <c r="BJ20" s="78"/>
      <c r="BK20" s="120">
        <f>SUM(BH20:BJ20)</f>
        <v>29925000</v>
      </c>
      <c r="BL20" s="121">
        <f>K20+U20+AB20+AH20+AO20+AW20+BG20+BK20</f>
        <v>32582067</v>
      </c>
    </row>
    <row r="21" spans="1:64" x14ac:dyDescent="0.25">
      <c r="A21" s="28"/>
      <c r="B21" s="116">
        <v>2024</v>
      </c>
      <c r="C21" s="43"/>
      <c r="D21" s="44"/>
      <c r="E21" s="44"/>
      <c r="F21" s="44"/>
      <c r="G21" s="44"/>
      <c r="H21" s="44"/>
      <c r="I21" s="44"/>
      <c r="J21" s="44"/>
      <c r="K21" s="45"/>
      <c r="L21" s="44"/>
      <c r="M21" s="44"/>
      <c r="N21" s="44"/>
      <c r="O21" s="44"/>
      <c r="P21" s="44"/>
      <c r="Q21" s="44"/>
      <c r="R21" s="44"/>
      <c r="S21" s="44"/>
      <c r="T21" s="44"/>
      <c r="U21" s="45"/>
      <c r="V21" s="44">
        <f>32599+2451315</f>
        <v>2483914</v>
      </c>
      <c r="W21" s="44"/>
      <c r="X21" s="44"/>
      <c r="Y21" s="44"/>
      <c r="Z21" s="44"/>
      <c r="AA21" s="44"/>
      <c r="AB21" s="45">
        <f>SUM(V21:AA21)</f>
        <v>2483914</v>
      </c>
      <c r="AC21" s="44"/>
      <c r="AD21" s="44"/>
      <c r="AE21" s="44"/>
      <c r="AF21" s="44"/>
      <c r="AG21" s="44"/>
      <c r="AH21" s="45"/>
      <c r="AI21" s="44"/>
      <c r="AJ21" s="44"/>
      <c r="AK21" s="44"/>
      <c r="AL21" s="44"/>
      <c r="AM21" s="44"/>
      <c r="AN21" s="44"/>
      <c r="AO21" s="45"/>
      <c r="AP21" s="44"/>
      <c r="AQ21" s="44"/>
      <c r="AR21" s="44"/>
      <c r="AS21" s="44"/>
      <c r="AT21" s="44"/>
      <c r="AU21" s="44"/>
      <c r="AV21" s="44"/>
      <c r="AW21" s="45"/>
      <c r="AX21" s="44"/>
      <c r="AY21" s="44"/>
      <c r="AZ21" s="44"/>
      <c r="BA21" s="44"/>
      <c r="BB21" s="44"/>
      <c r="BC21" s="44"/>
      <c r="BD21" s="44"/>
      <c r="BE21" s="44"/>
      <c r="BF21" s="44"/>
      <c r="BG21" s="45"/>
      <c r="BH21" s="44"/>
      <c r="BI21" s="44">
        <v>2200000</v>
      </c>
      <c r="BJ21" s="44"/>
      <c r="BK21" s="45">
        <f>SUM(BH21:BJ21)</f>
        <v>2200000</v>
      </c>
      <c r="BL21" s="122">
        <f>K21+U21+AB21+AH21+AO21+AW21+BG21+BK21</f>
        <v>4683914</v>
      </c>
    </row>
    <row r="22" spans="1:64" ht="18.75" x14ac:dyDescent="0.3">
      <c r="A22" s="123" t="s">
        <v>209</v>
      </c>
      <c r="B22" s="118"/>
      <c r="C22" s="119"/>
      <c r="D22" s="78"/>
      <c r="E22" s="78"/>
      <c r="F22" s="78"/>
      <c r="G22" s="78"/>
      <c r="H22" s="78"/>
      <c r="I22" s="78"/>
      <c r="J22" s="78"/>
      <c r="K22" s="120"/>
      <c r="L22" s="78"/>
      <c r="M22" s="78"/>
      <c r="N22" s="78"/>
      <c r="O22" s="78"/>
      <c r="P22" s="78"/>
      <c r="Q22" s="78"/>
      <c r="R22" s="78"/>
      <c r="S22" s="78"/>
      <c r="T22" s="78"/>
      <c r="U22" s="120"/>
      <c r="V22" s="78"/>
      <c r="W22" s="78"/>
      <c r="X22" s="78"/>
      <c r="Y22" s="78"/>
      <c r="Z22" s="78"/>
      <c r="AA22" s="78"/>
      <c r="AB22" s="120"/>
      <c r="AC22" s="78"/>
      <c r="AD22" s="78"/>
      <c r="AE22" s="78"/>
      <c r="AF22" s="78"/>
      <c r="AG22" s="78"/>
      <c r="AH22" s="120"/>
      <c r="AI22" s="78"/>
      <c r="AJ22" s="78"/>
      <c r="AK22" s="78"/>
      <c r="AL22" s="78"/>
      <c r="AM22" s="78"/>
      <c r="AN22" s="78"/>
      <c r="AO22" s="120"/>
      <c r="AP22" s="78"/>
      <c r="AQ22" s="78"/>
      <c r="AR22" s="78"/>
      <c r="AS22" s="78"/>
      <c r="AT22" s="78"/>
      <c r="AU22" s="78"/>
      <c r="AV22" s="78"/>
      <c r="AW22" s="120"/>
      <c r="AX22" s="78"/>
      <c r="AY22" s="78"/>
      <c r="AZ22" s="78"/>
      <c r="BA22" s="78"/>
      <c r="BB22" s="78"/>
      <c r="BC22" s="78"/>
      <c r="BD22" s="78"/>
      <c r="BE22" s="78"/>
      <c r="BF22" s="78"/>
      <c r="BG22" s="120"/>
      <c r="BH22" s="78"/>
      <c r="BI22" s="78"/>
      <c r="BJ22" s="78"/>
      <c r="BK22" s="120"/>
      <c r="BL22" s="117"/>
    </row>
    <row r="23" spans="1:64" x14ac:dyDescent="0.25">
      <c r="A23" s="27"/>
      <c r="B23" s="116">
        <v>2021</v>
      </c>
      <c r="C23" s="43">
        <v>1011349</v>
      </c>
      <c r="D23" s="44">
        <v>1458446</v>
      </c>
      <c r="E23" s="44"/>
      <c r="F23" s="44"/>
      <c r="G23" s="44"/>
      <c r="H23" s="44">
        <v>169079</v>
      </c>
      <c r="I23" s="44"/>
      <c r="J23" s="44"/>
      <c r="K23" s="45">
        <f>SUM(C23:J23)</f>
        <v>2638874</v>
      </c>
      <c r="L23" s="44"/>
      <c r="M23" s="44"/>
      <c r="N23" s="44">
        <v>522795</v>
      </c>
      <c r="O23" s="44">
        <v>2516617</v>
      </c>
      <c r="P23" s="44"/>
      <c r="Q23" s="44">
        <v>225460</v>
      </c>
      <c r="R23" s="44"/>
      <c r="S23" s="44">
        <v>895690</v>
      </c>
      <c r="T23" s="44"/>
      <c r="U23" s="45">
        <f>SUM(L23:T23)</f>
        <v>4160562</v>
      </c>
      <c r="V23" s="44">
        <v>9262308</v>
      </c>
      <c r="W23" s="44"/>
      <c r="X23" s="44"/>
      <c r="Y23" s="44"/>
      <c r="Z23" s="44"/>
      <c r="AA23" s="44"/>
      <c r="AB23" s="45">
        <f>SUM(V23:AA23)</f>
        <v>9262308</v>
      </c>
      <c r="AC23" s="44"/>
      <c r="AD23" s="44"/>
      <c r="AE23" s="44"/>
      <c r="AF23" s="44"/>
      <c r="AG23" s="44"/>
      <c r="AH23" s="45"/>
      <c r="AI23" s="44"/>
      <c r="AJ23" s="44"/>
      <c r="AK23" s="44"/>
      <c r="AL23" s="44"/>
      <c r="AM23" s="44"/>
      <c r="AN23" s="44"/>
      <c r="AO23" s="45"/>
      <c r="AP23" s="44"/>
      <c r="AQ23" s="44">
        <v>1657885</v>
      </c>
      <c r="AR23" s="44"/>
      <c r="AS23" s="44"/>
      <c r="AT23" s="44"/>
      <c r="AU23" s="44"/>
      <c r="AV23" s="44"/>
      <c r="AW23" s="45">
        <f>SUM(AP23:AV23)</f>
        <v>1657885</v>
      </c>
      <c r="AX23" s="44"/>
      <c r="AY23" s="44"/>
      <c r="AZ23" s="44"/>
      <c r="BA23" s="44"/>
      <c r="BB23" s="44">
        <v>10185</v>
      </c>
      <c r="BC23" s="44">
        <v>378646</v>
      </c>
      <c r="BD23" s="44"/>
      <c r="BE23" s="44"/>
      <c r="BF23" s="44"/>
      <c r="BG23" s="45">
        <f>SUM(AX23:BF23)</f>
        <v>388831</v>
      </c>
      <c r="BH23" s="44"/>
      <c r="BI23" s="44">
        <v>613108</v>
      </c>
      <c r="BJ23" s="44"/>
      <c r="BK23" s="45">
        <f>SUM(BH23:BJ23)</f>
        <v>613108</v>
      </c>
      <c r="BL23" s="122">
        <f>K23+U23+AB23+AH23+AO23+AW23+BG23+BK23</f>
        <v>18721568</v>
      </c>
    </row>
    <row r="24" spans="1:64" x14ac:dyDescent="0.25">
      <c r="A24" s="11"/>
      <c r="B24" s="118">
        <v>2022</v>
      </c>
      <c r="C24" s="119">
        <v>2126055</v>
      </c>
      <c r="D24" s="78">
        <v>525243</v>
      </c>
      <c r="E24" s="78"/>
      <c r="F24" s="78"/>
      <c r="G24" s="78"/>
      <c r="H24" s="78">
        <v>1307921</v>
      </c>
      <c r="I24" s="78"/>
      <c r="J24" s="78"/>
      <c r="K24" s="120">
        <f>SUM(C24:J24)</f>
        <v>3959219</v>
      </c>
      <c r="L24" s="78"/>
      <c r="M24" s="78"/>
      <c r="N24" s="78">
        <v>234320</v>
      </c>
      <c r="O24" s="78">
        <v>3213724</v>
      </c>
      <c r="P24" s="78"/>
      <c r="Q24" s="78">
        <v>196910</v>
      </c>
      <c r="R24" s="78"/>
      <c r="S24" s="78">
        <v>2210366</v>
      </c>
      <c r="T24" s="78"/>
      <c r="U24" s="120">
        <f>SUM(L24:T24)</f>
        <v>5855320</v>
      </c>
      <c r="V24" s="78">
        <v>5477184</v>
      </c>
      <c r="W24" s="78"/>
      <c r="X24" s="78"/>
      <c r="Y24" s="78"/>
      <c r="Z24" s="78"/>
      <c r="AA24" s="78"/>
      <c r="AB24" s="120">
        <f>SUM(V24:AA24)</f>
        <v>5477184</v>
      </c>
      <c r="AC24" s="78"/>
      <c r="AD24" s="78"/>
      <c r="AE24" s="78"/>
      <c r="AF24" s="78"/>
      <c r="AG24" s="78"/>
      <c r="AH24" s="120"/>
      <c r="AI24" s="78"/>
      <c r="AJ24" s="78"/>
      <c r="AK24" s="78"/>
      <c r="AL24" s="78"/>
      <c r="AM24" s="78"/>
      <c r="AN24" s="78"/>
      <c r="AO24" s="120"/>
      <c r="AP24" s="78"/>
      <c r="AQ24" s="78">
        <v>504856</v>
      </c>
      <c r="AR24" s="78"/>
      <c r="AS24" s="78"/>
      <c r="AT24" s="78"/>
      <c r="AU24" s="78"/>
      <c r="AV24" s="78"/>
      <c r="AW24" s="120">
        <f>SUM(AP24:AV24)</f>
        <v>504856</v>
      </c>
      <c r="AX24" s="78"/>
      <c r="AY24" s="78"/>
      <c r="AZ24" s="78"/>
      <c r="BA24" s="78"/>
      <c r="BB24" s="78"/>
      <c r="BC24" s="78">
        <v>632567</v>
      </c>
      <c r="BD24" s="78"/>
      <c r="BE24" s="78"/>
      <c r="BF24" s="78"/>
      <c r="BG24" s="120">
        <f>SUM(AX24:BF24)</f>
        <v>632567</v>
      </c>
      <c r="BH24" s="78"/>
      <c r="BI24" s="78"/>
      <c r="BJ24" s="78"/>
      <c r="BK24" s="120"/>
      <c r="BL24" s="121">
        <f>K24+U24+AB24+AH24+AO24+AW24+BG24+BK24</f>
        <v>16429146</v>
      </c>
    </row>
    <row r="25" spans="1:64" x14ac:dyDescent="0.25">
      <c r="A25" s="28"/>
      <c r="B25" s="116">
        <v>2023</v>
      </c>
      <c r="C25" s="43">
        <v>5175268</v>
      </c>
      <c r="D25" s="44">
        <v>1674824</v>
      </c>
      <c r="E25" s="44"/>
      <c r="F25" s="44">
        <v>35718</v>
      </c>
      <c r="G25" s="44"/>
      <c r="H25" s="44">
        <v>79347</v>
      </c>
      <c r="I25" s="44"/>
      <c r="J25" s="44"/>
      <c r="K25" s="45">
        <f>SUM(C25:J25)</f>
        <v>6965157</v>
      </c>
      <c r="L25" s="44"/>
      <c r="M25" s="44"/>
      <c r="N25" s="44">
        <v>1023482</v>
      </c>
      <c r="O25" s="44">
        <v>1332255</v>
      </c>
      <c r="P25" s="44"/>
      <c r="Q25" s="44">
        <v>443139</v>
      </c>
      <c r="R25" s="44"/>
      <c r="S25" s="44">
        <v>804645</v>
      </c>
      <c r="T25" s="44"/>
      <c r="U25" s="45">
        <f>SUM(L25:T25)</f>
        <v>3603521</v>
      </c>
      <c r="V25" s="44">
        <v>6499937</v>
      </c>
      <c r="W25" s="44"/>
      <c r="X25" s="44"/>
      <c r="Y25" s="44"/>
      <c r="Z25" s="44"/>
      <c r="AA25" s="44"/>
      <c r="AB25" s="45">
        <f>SUM(V25:AA25)</f>
        <v>6499937</v>
      </c>
      <c r="AC25" s="44"/>
      <c r="AD25" s="44"/>
      <c r="AE25" s="44"/>
      <c r="AF25" s="44"/>
      <c r="AG25" s="44"/>
      <c r="AH25" s="45"/>
      <c r="AI25" s="44"/>
      <c r="AJ25" s="44"/>
      <c r="AK25" s="44"/>
      <c r="AL25" s="44"/>
      <c r="AM25" s="44"/>
      <c r="AN25" s="44"/>
      <c r="AO25" s="45"/>
      <c r="AP25" s="44"/>
      <c r="AQ25" s="44">
        <v>2099638</v>
      </c>
      <c r="AR25" s="44"/>
      <c r="AS25" s="44"/>
      <c r="AT25" s="44"/>
      <c r="AU25" s="44"/>
      <c r="AV25" s="44"/>
      <c r="AW25" s="45">
        <f>SUM(AP25:AV25)</f>
        <v>2099638</v>
      </c>
      <c r="AX25" s="44"/>
      <c r="AY25" s="44"/>
      <c r="AZ25" s="44"/>
      <c r="BA25" s="44"/>
      <c r="BB25" s="44"/>
      <c r="BC25" s="44">
        <v>378956</v>
      </c>
      <c r="BD25" s="44"/>
      <c r="BE25" s="44"/>
      <c r="BF25" s="44">
        <v>149005</v>
      </c>
      <c r="BG25" s="45">
        <f>SUM(AX25:BF25)</f>
        <v>527961</v>
      </c>
      <c r="BH25" s="44"/>
      <c r="BI25" s="44"/>
      <c r="BJ25" s="44"/>
      <c r="BK25" s="45"/>
      <c r="BL25" s="122">
        <f>K25+U25+AB25+AH25+AO25+AW25+BG25+BK25</f>
        <v>19696214</v>
      </c>
    </row>
    <row r="26" spans="1:64" x14ac:dyDescent="0.25">
      <c r="B26" s="118">
        <v>2024</v>
      </c>
      <c r="C26" s="119">
        <f>2213242+4186881</f>
        <v>6400123</v>
      </c>
      <c r="D26" s="78">
        <f>1742076+3030321</f>
        <v>4772397</v>
      </c>
      <c r="E26" s="78"/>
      <c r="F26" s="78"/>
      <c r="G26" s="78"/>
      <c r="H26" s="78">
        <f>148617+421140</f>
        <v>569757</v>
      </c>
      <c r="I26" s="78"/>
      <c r="J26" s="78"/>
      <c r="K26" s="120">
        <f>SUM(C26:J26)</f>
        <v>11742277</v>
      </c>
      <c r="L26" s="78"/>
      <c r="M26" s="78"/>
      <c r="N26" s="78">
        <v>207415</v>
      </c>
      <c r="O26" s="78">
        <f>14897+909411</f>
        <v>924308</v>
      </c>
      <c r="P26" s="78"/>
      <c r="Q26" s="78">
        <f>145543+92069</f>
        <v>237612</v>
      </c>
      <c r="R26" s="78"/>
      <c r="S26" s="78">
        <f>177453+1635409</f>
        <v>1812862</v>
      </c>
      <c r="T26" s="78"/>
      <c r="U26" s="120">
        <f>SUM(L26:T26)</f>
        <v>3182197</v>
      </c>
      <c r="V26" s="78">
        <f>9223878+6324708</f>
        <v>15548586</v>
      </c>
      <c r="W26" s="78"/>
      <c r="X26" s="78"/>
      <c r="Y26" s="78"/>
      <c r="Z26" s="78"/>
      <c r="AA26" s="78"/>
      <c r="AB26" s="120">
        <f>SUM(V26:AA26)</f>
        <v>15548586</v>
      </c>
      <c r="AC26" s="78"/>
      <c r="AD26" s="78"/>
      <c r="AE26" s="78"/>
      <c r="AF26" s="78"/>
      <c r="AG26" s="78"/>
      <c r="AH26" s="120"/>
      <c r="AI26" s="78"/>
      <c r="AJ26" s="78"/>
      <c r="AK26" s="78"/>
      <c r="AL26" s="78">
        <f>15+42265</f>
        <v>42280</v>
      </c>
      <c r="AM26" s="78"/>
      <c r="AN26" s="78"/>
      <c r="AO26" s="120">
        <f>SUM(AI26:AN26)</f>
        <v>42280</v>
      </c>
      <c r="AP26" s="78"/>
      <c r="AQ26" s="78">
        <f>1016010+2248311</f>
        <v>3264321</v>
      </c>
      <c r="AR26" s="78"/>
      <c r="AS26" s="78"/>
      <c r="AT26" s="78"/>
      <c r="AU26" s="78"/>
      <c r="AV26" s="78"/>
      <c r="AW26" s="120">
        <f>SUM(AP26:AV26)</f>
        <v>3264321</v>
      </c>
      <c r="AX26" s="78"/>
      <c r="AY26" s="78"/>
      <c r="AZ26" s="78"/>
      <c r="BA26" s="78"/>
      <c r="BB26" s="78">
        <v>18100</v>
      </c>
      <c r="BC26" s="78"/>
      <c r="BD26" s="78"/>
      <c r="BE26" s="78"/>
      <c r="BF26" s="78">
        <f>36+229095</f>
        <v>229131</v>
      </c>
      <c r="BG26" s="120">
        <f>SUM(AX26:BF26)</f>
        <v>247231</v>
      </c>
      <c r="BH26" s="78"/>
      <c r="BI26" s="78"/>
      <c r="BJ26" s="78"/>
      <c r="BK26" s="120"/>
      <c r="BL26" s="121">
        <f>K26+U26+AB26+AH26+AO26+AW26+BG26+BK26</f>
        <v>34026892</v>
      </c>
    </row>
    <row r="27" spans="1:64" ht="18.75" x14ac:dyDescent="0.3">
      <c r="A27" s="115" t="s">
        <v>210</v>
      </c>
      <c r="B27" s="116"/>
      <c r="C27" s="43"/>
      <c r="D27" s="44"/>
      <c r="E27" s="44"/>
      <c r="F27" s="44"/>
      <c r="G27" s="44"/>
      <c r="H27" s="44"/>
      <c r="I27" s="44"/>
      <c r="J27" s="44"/>
      <c r="K27" s="45"/>
      <c r="L27" s="44"/>
      <c r="M27" s="44"/>
      <c r="N27" s="44"/>
      <c r="O27" s="44"/>
      <c r="P27" s="44"/>
      <c r="Q27" s="44"/>
      <c r="R27" s="44"/>
      <c r="S27" s="44"/>
      <c r="T27" s="44"/>
      <c r="U27" s="45"/>
      <c r="V27" s="44"/>
      <c r="W27" s="44"/>
      <c r="X27" s="44"/>
      <c r="Y27" s="44"/>
      <c r="Z27" s="44"/>
      <c r="AA27" s="44"/>
      <c r="AB27" s="45"/>
      <c r="AC27" s="44"/>
      <c r="AD27" s="44"/>
      <c r="AE27" s="44"/>
      <c r="AF27" s="44"/>
      <c r="AG27" s="44"/>
      <c r="AH27" s="45"/>
      <c r="AI27" s="44"/>
      <c r="AJ27" s="44"/>
      <c r="AK27" s="44"/>
      <c r="AL27" s="44"/>
      <c r="AM27" s="44"/>
      <c r="AN27" s="44"/>
      <c r="AO27" s="45"/>
      <c r="AP27" s="44"/>
      <c r="AQ27" s="44"/>
      <c r="AR27" s="44"/>
      <c r="AS27" s="44"/>
      <c r="AT27" s="44"/>
      <c r="AU27" s="44"/>
      <c r="AV27" s="44"/>
      <c r="AW27" s="45"/>
      <c r="AX27" s="44"/>
      <c r="AY27" s="44"/>
      <c r="AZ27" s="44"/>
      <c r="BA27" s="44"/>
      <c r="BB27" s="44"/>
      <c r="BC27" s="44"/>
      <c r="BD27" s="44"/>
      <c r="BE27" s="44"/>
      <c r="BF27" s="44"/>
      <c r="BG27" s="45"/>
      <c r="BH27" s="44"/>
      <c r="BI27" s="44"/>
      <c r="BJ27" s="44"/>
      <c r="BK27" s="45"/>
      <c r="BL27" s="124"/>
    </row>
    <row r="28" spans="1:64" x14ac:dyDescent="0.25">
      <c r="A28" s="11"/>
      <c r="B28" s="118">
        <v>2021</v>
      </c>
      <c r="C28" s="119"/>
      <c r="D28" s="78"/>
      <c r="E28" s="78"/>
      <c r="F28" s="78"/>
      <c r="G28" s="78"/>
      <c r="H28" s="78"/>
      <c r="I28" s="78"/>
      <c r="J28" s="78"/>
      <c r="K28" s="120"/>
      <c r="L28" s="78"/>
      <c r="M28" s="78"/>
      <c r="N28" s="78">
        <v>5292969</v>
      </c>
      <c r="O28" s="78"/>
      <c r="P28" s="78">
        <v>2414744</v>
      </c>
      <c r="Q28" s="78">
        <v>16344780</v>
      </c>
      <c r="R28" s="78"/>
      <c r="S28" s="78"/>
      <c r="T28" s="78"/>
      <c r="U28" s="120">
        <f>SUM(L28:T28)</f>
        <v>24052493</v>
      </c>
      <c r="V28" s="78"/>
      <c r="W28" s="78"/>
      <c r="X28" s="78"/>
      <c r="Y28" s="78"/>
      <c r="Z28" s="78"/>
      <c r="AA28" s="78"/>
      <c r="AB28" s="120"/>
      <c r="AC28" s="78"/>
      <c r="AD28" s="78"/>
      <c r="AE28" s="78"/>
      <c r="AF28" s="78"/>
      <c r="AG28" s="78"/>
      <c r="AH28" s="120"/>
      <c r="AI28" s="78"/>
      <c r="AJ28" s="78"/>
      <c r="AK28" s="78"/>
      <c r="AL28" s="78"/>
      <c r="AM28" s="78"/>
      <c r="AN28" s="78"/>
      <c r="AO28" s="120"/>
      <c r="AP28" s="78"/>
      <c r="AQ28" s="78"/>
      <c r="AR28" s="78"/>
      <c r="AS28" s="78"/>
      <c r="AT28" s="78"/>
      <c r="AU28" s="78"/>
      <c r="AV28" s="78"/>
      <c r="AW28" s="120"/>
      <c r="AX28" s="78"/>
      <c r="AY28" s="78"/>
      <c r="AZ28" s="78"/>
      <c r="BA28" s="78"/>
      <c r="BB28" s="78"/>
      <c r="BC28" s="78"/>
      <c r="BD28" s="78"/>
      <c r="BE28" s="78"/>
      <c r="BF28" s="78"/>
      <c r="BG28" s="120"/>
      <c r="BH28" s="78"/>
      <c r="BI28" s="78">
        <v>492700</v>
      </c>
      <c r="BJ28" s="78"/>
      <c r="BK28" s="120">
        <f>SUM(BH28:BJ28)</f>
        <v>492700</v>
      </c>
      <c r="BL28" s="121">
        <f>K28+U28+AB28+AH28+AO28+AW28+BG28+BK28</f>
        <v>24545193</v>
      </c>
    </row>
    <row r="29" spans="1:64" x14ac:dyDescent="0.25">
      <c r="A29" s="28"/>
      <c r="B29" s="116">
        <v>2022</v>
      </c>
      <c r="C29" s="43"/>
      <c r="D29" s="44"/>
      <c r="E29" s="44"/>
      <c r="F29" s="44"/>
      <c r="G29" s="44"/>
      <c r="H29" s="44"/>
      <c r="I29" s="44"/>
      <c r="J29" s="44"/>
      <c r="K29" s="45"/>
      <c r="L29" s="44"/>
      <c r="M29" s="44"/>
      <c r="N29" s="44">
        <v>7644551</v>
      </c>
      <c r="O29" s="44"/>
      <c r="P29" s="44">
        <v>7492251</v>
      </c>
      <c r="Q29" s="44">
        <v>11174918</v>
      </c>
      <c r="R29" s="44"/>
      <c r="S29" s="44"/>
      <c r="T29" s="44"/>
      <c r="U29" s="45">
        <f>SUM(L29:T29)</f>
        <v>26311720</v>
      </c>
      <c r="V29" s="44"/>
      <c r="W29" s="44"/>
      <c r="X29" s="44"/>
      <c r="Y29" s="44"/>
      <c r="Z29" s="44"/>
      <c r="AA29" s="44"/>
      <c r="AB29" s="45"/>
      <c r="AC29" s="44"/>
      <c r="AD29" s="44"/>
      <c r="AE29" s="44"/>
      <c r="AF29" s="44"/>
      <c r="AG29" s="44"/>
      <c r="AH29" s="45"/>
      <c r="AI29" s="44"/>
      <c r="AJ29" s="44"/>
      <c r="AK29" s="44"/>
      <c r="AL29" s="44"/>
      <c r="AM29" s="44"/>
      <c r="AN29" s="44"/>
      <c r="AO29" s="45"/>
      <c r="AP29" s="44"/>
      <c r="AQ29" s="44"/>
      <c r="AR29" s="44"/>
      <c r="AS29" s="44"/>
      <c r="AT29" s="44"/>
      <c r="AU29" s="44"/>
      <c r="AV29" s="44"/>
      <c r="AW29" s="45"/>
      <c r="AX29" s="44"/>
      <c r="AY29" s="44"/>
      <c r="AZ29" s="44"/>
      <c r="BA29" s="44"/>
      <c r="BB29" s="44"/>
      <c r="BC29" s="44"/>
      <c r="BD29" s="44"/>
      <c r="BE29" s="44"/>
      <c r="BF29" s="44"/>
      <c r="BG29" s="45"/>
      <c r="BH29" s="44"/>
      <c r="BI29" s="44">
        <v>625800</v>
      </c>
      <c r="BJ29" s="44"/>
      <c r="BK29" s="45">
        <f>SUM(BH29:BJ29)</f>
        <v>625800</v>
      </c>
      <c r="BL29" s="122">
        <f>K29+U29+AB29+AH29+AO29+AW29+BG29+BK29</f>
        <v>26937520</v>
      </c>
    </row>
    <row r="30" spans="1:64" x14ac:dyDescent="0.25">
      <c r="B30" s="118">
        <v>2023</v>
      </c>
      <c r="C30" s="119"/>
      <c r="D30" s="78"/>
      <c r="E30" s="78"/>
      <c r="F30" s="78"/>
      <c r="G30" s="78"/>
      <c r="H30" s="78"/>
      <c r="I30" s="78"/>
      <c r="J30" s="78"/>
      <c r="K30" s="120"/>
      <c r="L30" s="78"/>
      <c r="M30" s="78"/>
      <c r="N30" s="78">
        <v>9054468</v>
      </c>
      <c r="O30" s="78"/>
      <c r="P30" s="78">
        <v>7529105</v>
      </c>
      <c r="Q30" s="78">
        <v>13515580</v>
      </c>
      <c r="R30" s="78"/>
      <c r="S30" s="78"/>
      <c r="T30" s="78"/>
      <c r="U30" s="120">
        <f>SUM(L30:T30)</f>
        <v>30099153</v>
      </c>
      <c r="V30" s="78"/>
      <c r="W30" s="78"/>
      <c r="X30" s="78"/>
      <c r="Y30" s="78"/>
      <c r="Z30" s="78"/>
      <c r="AA30" s="78"/>
      <c r="AB30" s="120"/>
      <c r="AC30" s="78"/>
      <c r="AD30" s="78"/>
      <c r="AE30" s="78"/>
      <c r="AF30" s="78"/>
      <c r="AG30" s="78"/>
      <c r="AH30" s="120"/>
      <c r="AI30" s="78"/>
      <c r="AJ30" s="78"/>
      <c r="AK30" s="78"/>
      <c r="AL30" s="78"/>
      <c r="AM30" s="78"/>
      <c r="AN30" s="78"/>
      <c r="AO30" s="120"/>
      <c r="AP30" s="78"/>
      <c r="AQ30" s="78"/>
      <c r="AR30" s="78"/>
      <c r="AS30" s="78"/>
      <c r="AT30" s="78"/>
      <c r="AU30" s="78"/>
      <c r="AV30" s="78"/>
      <c r="AW30" s="120"/>
      <c r="AX30" s="78"/>
      <c r="AY30" s="78"/>
      <c r="AZ30" s="78"/>
      <c r="BA30" s="78"/>
      <c r="BB30" s="78"/>
      <c r="BC30" s="78"/>
      <c r="BD30" s="78"/>
      <c r="BE30" s="78"/>
      <c r="BF30" s="78"/>
      <c r="BG30" s="120"/>
      <c r="BH30" s="78"/>
      <c r="BI30" s="78">
        <v>637700</v>
      </c>
      <c r="BJ30" s="78"/>
      <c r="BK30" s="120">
        <f>SUM(BH30:BJ30)</f>
        <v>637700</v>
      </c>
      <c r="BL30" s="121">
        <f>K30+U30+AB30+AH30+AO30+AW30+BG30+BK30</f>
        <v>30736853</v>
      </c>
    </row>
    <row r="31" spans="1:64" x14ac:dyDescent="0.25">
      <c r="A31" s="27"/>
      <c r="B31" s="116">
        <v>2024</v>
      </c>
      <c r="C31" s="43"/>
      <c r="D31" s="44"/>
      <c r="E31" s="44"/>
      <c r="F31" s="44"/>
      <c r="G31" s="44"/>
      <c r="H31" s="44"/>
      <c r="I31" s="44"/>
      <c r="J31" s="44"/>
      <c r="K31" s="45"/>
      <c r="L31" s="44"/>
      <c r="M31" s="44"/>
      <c r="N31" s="44">
        <f>1319237+9324122</f>
        <v>10643359</v>
      </c>
      <c r="O31" s="44"/>
      <c r="P31" s="44">
        <f>1010284+7113428</f>
        <v>8123712</v>
      </c>
      <c r="Q31" s="44">
        <f>7825726+6110807+309573</f>
        <v>14246106</v>
      </c>
      <c r="R31" s="44"/>
      <c r="S31" s="44"/>
      <c r="T31" s="44"/>
      <c r="U31" s="45">
        <f>SUM(L31:T31)</f>
        <v>33013177</v>
      </c>
      <c r="V31" s="44"/>
      <c r="W31" s="44"/>
      <c r="X31" s="44"/>
      <c r="Y31" s="44"/>
      <c r="Z31" s="44"/>
      <c r="AA31" s="44"/>
      <c r="AB31" s="45"/>
      <c r="AC31" s="44"/>
      <c r="AD31" s="44"/>
      <c r="AE31" s="44"/>
      <c r="AF31" s="44"/>
      <c r="AG31" s="44"/>
      <c r="AH31" s="45"/>
      <c r="AI31" s="44"/>
      <c r="AJ31" s="44"/>
      <c r="AK31" s="44"/>
      <c r="AL31" s="44"/>
      <c r="AM31" s="44"/>
      <c r="AN31" s="44"/>
      <c r="AO31" s="45"/>
      <c r="AP31" s="44"/>
      <c r="AQ31" s="44"/>
      <c r="AR31" s="44"/>
      <c r="AS31" s="44"/>
      <c r="AT31" s="44"/>
      <c r="AU31" s="44"/>
      <c r="AV31" s="44"/>
      <c r="AW31" s="45"/>
      <c r="AX31" s="44"/>
      <c r="AY31" s="44"/>
      <c r="AZ31" s="44"/>
      <c r="BA31" s="44"/>
      <c r="BB31" s="44"/>
      <c r="BC31" s="44"/>
      <c r="BD31" s="44"/>
      <c r="BE31" s="44"/>
      <c r="BF31" s="44"/>
      <c r="BG31" s="45"/>
      <c r="BH31" s="44"/>
      <c r="BI31" s="44">
        <v>1536794</v>
      </c>
      <c r="BJ31" s="44"/>
      <c r="BK31" s="45">
        <f>SUM(BH31:BJ31)</f>
        <v>1536794</v>
      </c>
      <c r="BL31" s="122">
        <f>K31+U31+AB31+AH31+AO31+AW31+BG31+BK31</f>
        <v>34549971</v>
      </c>
    </row>
    <row r="32" spans="1:64" ht="18.75" x14ac:dyDescent="0.3">
      <c r="A32" s="123" t="s">
        <v>211</v>
      </c>
      <c r="B32" s="118"/>
      <c r="C32" s="119"/>
      <c r="D32" s="78"/>
      <c r="E32" s="78"/>
      <c r="F32" s="78"/>
      <c r="G32" s="78"/>
      <c r="H32" s="78"/>
      <c r="I32" s="78"/>
      <c r="J32" s="78"/>
      <c r="K32" s="120"/>
      <c r="L32" s="78"/>
      <c r="M32" s="78"/>
      <c r="N32" s="78"/>
      <c r="O32" s="78"/>
      <c r="P32" s="78"/>
      <c r="Q32" s="78"/>
      <c r="R32" s="78"/>
      <c r="S32" s="78"/>
      <c r="T32" s="78"/>
      <c r="U32" s="120"/>
      <c r="V32" s="78"/>
      <c r="W32" s="78"/>
      <c r="X32" s="78"/>
      <c r="Y32" s="78"/>
      <c r="Z32" s="78"/>
      <c r="AA32" s="78"/>
      <c r="AB32" s="120"/>
      <c r="AC32" s="78"/>
      <c r="AD32" s="78"/>
      <c r="AE32" s="78"/>
      <c r="AF32" s="78"/>
      <c r="AG32" s="78"/>
      <c r="AH32" s="120"/>
      <c r="AI32" s="78"/>
      <c r="AJ32" s="78"/>
      <c r="AK32" s="78"/>
      <c r="AL32" s="78"/>
      <c r="AM32" s="78"/>
      <c r="AN32" s="78"/>
      <c r="AO32" s="120"/>
      <c r="AP32" s="78"/>
      <c r="AQ32" s="78"/>
      <c r="AR32" s="78"/>
      <c r="AS32" s="78"/>
      <c r="AT32" s="78"/>
      <c r="AU32" s="78"/>
      <c r="AV32" s="78"/>
      <c r="AW32" s="120"/>
      <c r="AX32" s="78"/>
      <c r="AY32" s="78"/>
      <c r="AZ32" s="78"/>
      <c r="BA32" s="78"/>
      <c r="BB32" s="78"/>
      <c r="BC32" s="78"/>
      <c r="BD32" s="78"/>
      <c r="BE32" s="78"/>
      <c r="BF32" s="78"/>
      <c r="BG32" s="120"/>
      <c r="BH32" s="78"/>
      <c r="BI32" s="78"/>
      <c r="BJ32" s="78"/>
      <c r="BK32" s="120"/>
      <c r="BL32" s="117"/>
    </row>
    <row r="33" spans="1:64" x14ac:dyDescent="0.25">
      <c r="A33" s="28"/>
      <c r="B33" s="116">
        <v>2021</v>
      </c>
      <c r="C33" s="43"/>
      <c r="D33" s="44"/>
      <c r="E33" s="44"/>
      <c r="F33" s="44"/>
      <c r="G33" s="44"/>
      <c r="H33" s="44"/>
      <c r="I33" s="44"/>
      <c r="J33" s="44"/>
      <c r="K33" s="45"/>
      <c r="L33" s="44"/>
      <c r="M33" s="44"/>
      <c r="N33" s="44"/>
      <c r="O33" s="44"/>
      <c r="P33" s="44"/>
      <c r="Q33" s="44"/>
      <c r="R33" s="44"/>
      <c r="S33" s="44"/>
      <c r="T33" s="44"/>
      <c r="U33" s="45"/>
      <c r="V33" s="44"/>
      <c r="W33" s="44"/>
      <c r="X33" s="44"/>
      <c r="Y33" s="44"/>
      <c r="Z33" s="44"/>
      <c r="AA33" s="44"/>
      <c r="AB33" s="45"/>
      <c r="AC33" s="44"/>
      <c r="AD33" s="44"/>
      <c r="AE33" s="44"/>
      <c r="AF33" s="44"/>
      <c r="AG33" s="44"/>
      <c r="AH33" s="45"/>
      <c r="AI33" s="44"/>
      <c r="AJ33" s="44"/>
      <c r="AK33" s="44"/>
      <c r="AL33" s="44"/>
      <c r="AM33" s="44"/>
      <c r="AN33" s="44"/>
      <c r="AO33" s="45"/>
      <c r="AP33" s="44"/>
      <c r="AQ33" s="44"/>
      <c r="AR33" s="44"/>
      <c r="AS33" s="44"/>
      <c r="AT33" s="44"/>
      <c r="AU33" s="44"/>
      <c r="AV33" s="44"/>
      <c r="AW33" s="45"/>
      <c r="AX33" s="44"/>
      <c r="AY33" s="44"/>
      <c r="AZ33" s="44">
        <v>10337064</v>
      </c>
      <c r="BA33" s="44"/>
      <c r="BB33" s="44"/>
      <c r="BC33" s="44"/>
      <c r="BD33" s="44"/>
      <c r="BE33" s="44"/>
      <c r="BF33" s="44"/>
      <c r="BG33" s="45">
        <f>SUM(AX33:BF33)</f>
        <v>10337064</v>
      </c>
      <c r="BH33" s="44"/>
      <c r="BI33" s="44"/>
      <c r="BJ33" s="44"/>
      <c r="BK33" s="45"/>
      <c r="BL33" s="122">
        <f>K33+U33+AB33+AH33+AO33+AW33+BG33+BK33</f>
        <v>10337064</v>
      </c>
    </row>
    <row r="34" spans="1:64" x14ac:dyDescent="0.25">
      <c r="B34" s="118">
        <v>2022</v>
      </c>
      <c r="C34" s="119"/>
      <c r="D34" s="78"/>
      <c r="E34" s="78"/>
      <c r="F34" s="78"/>
      <c r="G34" s="78"/>
      <c r="H34" s="78"/>
      <c r="I34" s="78"/>
      <c r="J34" s="78"/>
      <c r="K34" s="120"/>
      <c r="L34" s="78"/>
      <c r="M34" s="78"/>
      <c r="N34" s="78"/>
      <c r="O34" s="78"/>
      <c r="P34" s="78"/>
      <c r="Q34" s="78"/>
      <c r="R34" s="78"/>
      <c r="S34" s="78"/>
      <c r="T34" s="78"/>
      <c r="U34" s="120"/>
      <c r="V34" s="78"/>
      <c r="W34" s="78"/>
      <c r="X34" s="78"/>
      <c r="Y34" s="78"/>
      <c r="Z34" s="78"/>
      <c r="AA34" s="78"/>
      <c r="AB34" s="120"/>
      <c r="AC34" s="78"/>
      <c r="AD34" s="78"/>
      <c r="AE34" s="78"/>
      <c r="AF34" s="78"/>
      <c r="AG34" s="78"/>
      <c r="AH34" s="120"/>
      <c r="AI34" s="78"/>
      <c r="AJ34" s="78"/>
      <c r="AK34" s="78"/>
      <c r="AL34" s="78"/>
      <c r="AM34" s="78"/>
      <c r="AN34" s="78"/>
      <c r="AO34" s="120"/>
      <c r="AP34" s="78"/>
      <c r="AQ34" s="78"/>
      <c r="AR34" s="78"/>
      <c r="AS34" s="78"/>
      <c r="AT34" s="78"/>
      <c r="AU34" s="78"/>
      <c r="AV34" s="78"/>
      <c r="AW34" s="120"/>
      <c r="AX34" s="78"/>
      <c r="AY34" s="78"/>
      <c r="AZ34" s="78">
        <v>13994138</v>
      </c>
      <c r="BA34" s="78"/>
      <c r="BB34" s="78"/>
      <c r="BC34" s="78"/>
      <c r="BD34" s="78"/>
      <c r="BE34" s="78"/>
      <c r="BF34" s="78"/>
      <c r="BG34" s="120">
        <f>SUM(AX34:BF34)</f>
        <v>13994138</v>
      </c>
      <c r="BH34" s="78"/>
      <c r="BI34" s="78"/>
      <c r="BJ34" s="78"/>
      <c r="BK34" s="120"/>
      <c r="BL34" s="121">
        <f>K34+U34+AB34+AH34+AO34+AW34+BG34+BK34</f>
        <v>13994138</v>
      </c>
    </row>
    <row r="35" spans="1:64" x14ac:dyDescent="0.25">
      <c r="A35" s="27"/>
      <c r="B35" s="116">
        <v>2023</v>
      </c>
      <c r="C35" s="43"/>
      <c r="D35" s="44"/>
      <c r="E35" s="44"/>
      <c r="F35" s="44"/>
      <c r="G35" s="44"/>
      <c r="H35" s="44"/>
      <c r="I35" s="44"/>
      <c r="J35" s="44"/>
      <c r="K35" s="45"/>
      <c r="L35" s="44"/>
      <c r="M35" s="44"/>
      <c r="N35" s="44"/>
      <c r="O35" s="44"/>
      <c r="P35" s="44"/>
      <c r="Q35" s="44"/>
      <c r="R35" s="44"/>
      <c r="S35" s="44"/>
      <c r="T35" s="44"/>
      <c r="U35" s="45"/>
      <c r="V35" s="44"/>
      <c r="W35" s="44"/>
      <c r="X35" s="44"/>
      <c r="Y35" s="44"/>
      <c r="Z35" s="44"/>
      <c r="AA35" s="44"/>
      <c r="AB35" s="45"/>
      <c r="AC35" s="44"/>
      <c r="AD35" s="44"/>
      <c r="AE35" s="44"/>
      <c r="AF35" s="44"/>
      <c r="AG35" s="44"/>
      <c r="AH35" s="45"/>
      <c r="AI35" s="44"/>
      <c r="AJ35" s="44"/>
      <c r="AK35" s="44"/>
      <c r="AL35" s="44"/>
      <c r="AM35" s="44"/>
      <c r="AN35" s="44"/>
      <c r="AO35" s="45"/>
      <c r="AP35" s="44"/>
      <c r="AQ35" s="44"/>
      <c r="AR35" s="44"/>
      <c r="AS35" s="44"/>
      <c r="AT35" s="44"/>
      <c r="AU35" s="44"/>
      <c r="AV35" s="44"/>
      <c r="AW35" s="45"/>
      <c r="AX35" s="44"/>
      <c r="AY35" s="44"/>
      <c r="AZ35" s="44">
        <v>13641390</v>
      </c>
      <c r="BA35" s="44"/>
      <c r="BB35" s="44"/>
      <c r="BC35" s="44"/>
      <c r="BD35" s="44"/>
      <c r="BE35" s="44"/>
      <c r="BF35" s="44"/>
      <c r="BG35" s="45">
        <f>SUM(AX35:BF35)</f>
        <v>13641390</v>
      </c>
      <c r="BH35" s="44"/>
      <c r="BI35" s="44"/>
      <c r="BJ35" s="44"/>
      <c r="BK35" s="45"/>
      <c r="BL35" s="122">
        <f>K35+U35+AB35+AH35+AO35+AW35+BG35+BK35</f>
        <v>13641390</v>
      </c>
    </row>
    <row r="36" spans="1:64" x14ac:dyDescent="0.25">
      <c r="A36" s="11"/>
      <c r="B36" s="118">
        <v>2024</v>
      </c>
      <c r="C36" s="119"/>
      <c r="D36" s="78"/>
      <c r="E36" s="78"/>
      <c r="F36" s="78"/>
      <c r="G36" s="78"/>
      <c r="H36" s="78"/>
      <c r="I36" s="78"/>
      <c r="J36" s="78"/>
      <c r="K36" s="120"/>
      <c r="L36" s="78"/>
      <c r="M36" s="78"/>
      <c r="N36" s="78"/>
      <c r="O36" s="78"/>
      <c r="P36" s="78"/>
      <c r="Q36" s="78"/>
      <c r="R36" s="78"/>
      <c r="S36" s="78"/>
      <c r="T36" s="78"/>
      <c r="U36" s="120"/>
      <c r="V36" s="78"/>
      <c r="W36" s="78"/>
      <c r="X36" s="78"/>
      <c r="Y36" s="78"/>
      <c r="Z36" s="78"/>
      <c r="AA36" s="78"/>
      <c r="AB36" s="120"/>
      <c r="AC36" s="78"/>
      <c r="AD36" s="78"/>
      <c r="AE36" s="78"/>
      <c r="AF36" s="78"/>
      <c r="AG36" s="78"/>
      <c r="AH36" s="120"/>
      <c r="AI36" s="78"/>
      <c r="AJ36" s="78"/>
      <c r="AK36" s="78"/>
      <c r="AL36" s="78"/>
      <c r="AM36" s="78"/>
      <c r="AN36" s="78"/>
      <c r="AO36" s="120"/>
      <c r="AP36" s="78"/>
      <c r="AQ36" s="78"/>
      <c r="AR36" s="78"/>
      <c r="AS36" s="78"/>
      <c r="AT36" s="78"/>
      <c r="AU36" s="78"/>
      <c r="AV36" s="78"/>
      <c r="AW36" s="120"/>
      <c r="AX36" s="78"/>
      <c r="AY36" s="78"/>
      <c r="AZ36" s="78">
        <v>18373281</v>
      </c>
      <c r="BA36" s="78"/>
      <c r="BB36" s="78"/>
      <c r="BC36" s="78"/>
      <c r="BD36" s="78"/>
      <c r="BE36" s="78"/>
      <c r="BF36" s="78"/>
      <c r="BG36" s="120">
        <f>SUM(AX36:BF36)</f>
        <v>18373281</v>
      </c>
      <c r="BH36" s="78"/>
      <c r="BI36" s="78"/>
      <c r="BJ36" s="78"/>
      <c r="BK36" s="120"/>
      <c r="BL36" s="121">
        <f>K36+U36+AB36+AH36+AO36+AW36+BG36+BK36</f>
        <v>18373281</v>
      </c>
    </row>
    <row r="37" spans="1:64" ht="18.75" x14ac:dyDescent="0.3">
      <c r="A37" s="115" t="s">
        <v>212</v>
      </c>
      <c r="B37" s="116"/>
      <c r="C37" s="43"/>
      <c r="D37" s="44"/>
      <c r="E37" s="44"/>
      <c r="F37" s="44"/>
      <c r="G37" s="44"/>
      <c r="H37" s="44"/>
      <c r="I37" s="44"/>
      <c r="J37" s="44"/>
      <c r="K37" s="45"/>
      <c r="L37" s="44"/>
      <c r="M37" s="44"/>
      <c r="N37" s="44"/>
      <c r="O37" s="44"/>
      <c r="P37" s="44"/>
      <c r="Q37" s="44"/>
      <c r="R37" s="44"/>
      <c r="S37" s="44"/>
      <c r="T37" s="44"/>
      <c r="U37" s="45"/>
      <c r="V37" s="44"/>
      <c r="W37" s="44"/>
      <c r="X37" s="44"/>
      <c r="Y37" s="44"/>
      <c r="Z37" s="44"/>
      <c r="AA37" s="44"/>
      <c r="AB37" s="45"/>
      <c r="AC37" s="44"/>
      <c r="AD37" s="44"/>
      <c r="AE37" s="44"/>
      <c r="AF37" s="44"/>
      <c r="AG37" s="44"/>
      <c r="AH37" s="45"/>
      <c r="AI37" s="44"/>
      <c r="AJ37" s="44"/>
      <c r="AK37" s="44"/>
      <c r="AL37" s="44"/>
      <c r="AM37" s="44"/>
      <c r="AN37" s="44"/>
      <c r="AO37" s="45"/>
      <c r="AP37" s="44"/>
      <c r="AQ37" s="44"/>
      <c r="AR37" s="44"/>
      <c r="AS37" s="44"/>
      <c r="AT37" s="44"/>
      <c r="AU37" s="44"/>
      <c r="AV37" s="44"/>
      <c r="AW37" s="45"/>
      <c r="AX37" s="44"/>
      <c r="AY37" s="44"/>
      <c r="AZ37" s="44"/>
      <c r="BA37" s="44"/>
      <c r="BB37" s="44"/>
      <c r="BC37" s="44"/>
      <c r="BD37" s="44"/>
      <c r="BE37" s="44"/>
      <c r="BF37" s="44"/>
      <c r="BG37" s="45"/>
      <c r="BH37" s="44"/>
      <c r="BI37" s="44"/>
      <c r="BJ37" s="44"/>
      <c r="BK37" s="45"/>
      <c r="BL37" s="124"/>
    </row>
    <row r="38" spans="1:64" x14ac:dyDescent="0.25">
      <c r="B38" s="118">
        <v>2021</v>
      </c>
      <c r="C38" s="119"/>
      <c r="D38" s="78"/>
      <c r="E38" s="78"/>
      <c r="F38" s="78"/>
      <c r="G38" s="78"/>
      <c r="H38" s="78"/>
      <c r="I38" s="78"/>
      <c r="J38" s="78"/>
      <c r="K38" s="120"/>
      <c r="L38" s="78"/>
      <c r="M38" s="78"/>
      <c r="N38" s="78"/>
      <c r="O38" s="78"/>
      <c r="P38" s="78"/>
      <c r="Q38" s="78"/>
      <c r="R38" s="78"/>
      <c r="S38" s="78"/>
      <c r="T38" s="78"/>
      <c r="U38" s="120"/>
      <c r="V38" s="78"/>
      <c r="W38" s="78"/>
      <c r="X38" s="78"/>
      <c r="Y38" s="78"/>
      <c r="Z38" s="78"/>
      <c r="AA38" s="78"/>
      <c r="AB38" s="120"/>
      <c r="AC38" s="78"/>
      <c r="AD38" s="78"/>
      <c r="AE38" s="78"/>
      <c r="AF38" s="78"/>
      <c r="AG38" s="78"/>
      <c r="AH38" s="120"/>
      <c r="AI38" s="78"/>
      <c r="AJ38" s="78"/>
      <c r="AK38" s="78"/>
      <c r="AL38" s="78"/>
      <c r="AM38" s="78"/>
      <c r="AN38" s="78"/>
      <c r="AO38" s="120"/>
      <c r="AP38" s="78"/>
      <c r="AQ38" s="78"/>
      <c r="AR38" s="78"/>
      <c r="AS38" s="78"/>
      <c r="AT38" s="78"/>
      <c r="AU38" s="78"/>
      <c r="AV38" s="78"/>
      <c r="AW38" s="120"/>
      <c r="AX38" s="78"/>
      <c r="AY38" s="78"/>
      <c r="AZ38" s="78"/>
      <c r="BA38" s="78"/>
      <c r="BB38" s="78"/>
      <c r="BC38" s="78"/>
      <c r="BD38" s="78"/>
      <c r="BE38" s="78">
        <v>5054236</v>
      </c>
      <c r="BF38" s="78"/>
      <c r="BG38" s="120">
        <f>SUM(AX38:BF38)</f>
        <v>5054236</v>
      </c>
      <c r="BH38" s="78"/>
      <c r="BI38" s="78"/>
      <c r="BJ38" s="78"/>
      <c r="BK38" s="120"/>
      <c r="BL38" s="122">
        <f>K38+U38+AB38+AH38+AO38+AW38+BG38+BK38</f>
        <v>5054236</v>
      </c>
    </row>
    <row r="39" spans="1:64" x14ac:dyDescent="0.25">
      <c r="A39" s="27"/>
      <c r="B39" s="116">
        <v>2022</v>
      </c>
      <c r="C39" s="43"/>
      <c r="D39" s="44"/>
      <c r="E39" s="44"/>
      <c r="F39" s="44"/>
      <c r="G39" s="44"/>
      <c r="H39" s="44"/>
      <c r="I39" s="44"/>
      <c r="J39" s="44"/>
      <c r="K39" s="45"/>
      <c r="L39" s="44"/>
      <c r="M39" s="44"/>
      <c r="N39" s="44"/>
      <c r="O39" s="44"/>
      <c r="P39" s="44"/>
      <c r="Q39" s="44"/>
      <c r="R39" s="44"/>
      <c r="S39" s="44"/>
      <c r="T39" s="44"/>
      <c r="U39" s="45"/>
      <c r="V39" s="44"/>
      <c r="W39" s="44"/>
      <c r="X39" s="44"/>
      <c r="Y39" s="44"/>
      <c r="Z39" s="44"/>
      <c r="AA39" s="44"/>
      <c r="AB39" s="45"/>
      <c r="AC39" s="44"/>
      <c r="AD39" s="44"/>
      <c r="AE39" s="44"/>
      <c r="AF39" s="44"/>
      <c r="AG39" s="44"/>
      <c r="AH39" s="45"/>
      <c r="AI39" s="44"/>
      <c r="AJ39" s="44"/>
      <c r="AK39" s="44"/>
      <c r="AL39" s="44"/>
      <c r="AM39" s="44"/>
      <c r="AN39" s="44"/>
      <c r="AO39" s="45"/>
      <c r="AP39" s="44"/>
      <c r="AQ39" s="44"/>
      <c r="AR39" s="44"/>
      <c r="AS39" s="44"/>
      <c r="AT39" s="44"/>
      <c r="AU39" s="44"/>
      <c r="AV39" s="44"/>
      <c r="AW39" s="45"/>
      <c r="AX39" s="44"/>
      <c r="AY39" s="44"/>
      <c r="AZ39" s="44"/>
      <c r="BA39" s="44"/>
      <c r="BB39" s="44"/>
      <c r="BC39" s="44"/>
      <c r="BD39" s="44"/>
      <c r="BE39" s="44">
        <v>6405878</v>
      </c>
      <c r="BF39" s="44"/>
      <c r="BG39" s="45">
        <f>SUM(AX39:BF39)</f>
        <v>6405878</v>
      </c>
      <c r="BH39" s="44"/>
      <c r="BI39" s="44"/>
      <c r="BJ39" s="44"/>
      <c r="BK39" s="45"/>
      <c r="BL39" s="122">
        <f>K39+U39+AB39+AH39+AO39+AW39+BG39+BK39</f>
        <v>6405878</v>
      </c>
    </row>
    <row r="40" spans="1:64" x14ac:dyDescent="0.25">
      <c r="A40" s="11"/>
      <c r="B40" s="118">
        <v>2023</v>
      </c>
      <c r="C40" s="119"/>
      <c r="D40" s="78"/>
      <c r="E40" s="78"/>
      <c r="F40" s="78"/>
      <c r="G40" s="78"/>
      <c r="H40" s="78"/>
      <c r="I40" s="78"/>
      <c r="J40" s="78"/>
      <c r="K40" s="120"/>
      <c r="L40" s="78"/>
      <c r="M40" s="78"/>
      <c r="N40" s="78"/>
      <c r="O40" s="78"/>
      <c r="P40" s="78"/>
      <c r="Q40" s="78"/>
      <c r="R40" s="78"/>
      <c r="S40" s="78"/>
      <c r="T40" s="78"/>
      <c r="U40" s="120"/>
      <c r="V40" s="78"/>
      <c r="W40" s="78"/>
      <c r="X40" s="78"/>
      <c r="Y40" s="78"/>
      <c r="Z40" s="78"/>
      <c r="AA40" s="78"/>
      <c r="AB40" s="120"/>
      <c r="AC40" s="78"/>
      <c r="AD40" s="78"/>
      <c r="AE40" s="78"/>
      <c r="AF40" s="78"/>
      <c r="AG40" s="78"/>
      <c r="AH40" s="120"/>
      <c r="AI40" s="78"/>
      <c r="AJ40" s="78"/>
      <c r="AK40" s="78"/>
      <c r="AL40" s="78"/>
      <c r="AM40" s="78"/>
      <c r="AN40" s="78"/>
      <c r="AO40" s="120"/>
      <c r="AP40" s="78"/>
      <c r="AQ40" s="78"/>
      <c r="AR40" s="78"/>
      <c r="AS40" s="78"/>
      <c r="AT40" s="78"/>
      <c r="AU40" s="78"/>
      <c r="AV40" s="78"/>
      <c r="AW40" s="120"/>
      <c r="AX40" s="78"/>
      <c r="AY40" s="78"/>
      <c r="AZ40" s="78"/>
      <c r="BA40" s="78"/>
      <c r="BB40" s="78"/>
      <c r="BC40" s="78"/>
      <c r="BD40" s="78"/>
      <c r="BE40" s="78">
        <v>5245954</v>
      </c>
      <c r="BF40" s="78"/>
      <c r="BG40" s="120">
        <f>SUM(AX40:BF40)</f>
        <v>5245954</v>
      </c>
      <c r="BH40" s="78"/>
      <c r="BI40" s="78"/>
      <c r="BJ40" s="78"/>
      <c r="BK40" s="120"/>
      <c r="BL40" s="121">
        <f>K40+U40+AB40+AH40+AO40+AW40+BG40+BK40</f>
        <v>5245954</v>
      </c>
    </row>
    <row r="41" spans="1:64" x14ac:dyDescent="0.25">
      <c r="A41" s="28"/>
      <c r="B41" s="116">
        <v>2024</v>
      </c>
      <c r="C41" s="43"/>
      <c r="D41" s="44"/>
      <c r="E41" s="44"/>
      <c r="F41" s="44"/>
      <c r="G41" s="44"/>
      <c r="H41" s="44"/>
      <c r="I41" s="44"/>
      <c r="J41" s="44"/>
      <c r="K41" s="45"/>
      <c r="L41" s="44"/>
      <c r="M41" s="44"/>
      <c r="N41" s="44"/>
      <c r="O41" s="44"/>
      <c r="P41" s="44"/>
      <c r="Q41" s="44"/>
      <c r="R41" s="44"/>
      <c r="S41" s="44"/>
      <c r="T41" s="44"/>
      <c r="U41" s="45"/>
      <c r="V41" s="44"/>
      <c r="W41" s="44"/>
      <c r="X41" s="44"/>
      <c r="Y41" s="44"/>
      <c r="Z41" s="44"/>
      <c r="AA41" s="44"/>
      <c r="AB41" s="45"/>
      <c r="AC41" s="44"/>
      <c r="AD41" s="44"/>
      <c r="AE41" s="44"/>
      <c r="AF41" s="44"/>
      <c r="AG41" s="44"/>
      <c r="AH41" s="45"/>
      <c r="AI41" s="44"/>
      <c r="AJ41" s="44"/>
      <c r="AK41" s="44"/>
      <c r="AL41" s="44"/>
      <c r="AM41" s="44"/>
      <c r="AN41" s="44"/>
      <c r="AO41" s="45"/>
      <c r="AP41" s="44"/>
      <c r="AQ41" s="44"/>
      <c r="AR41" s="44"/>
      <c r="AS41" s="44"/>
      <c r="AT41" s="44"/>
      <c r="AU41" s="44"/>
      <c r="AV41" s="44"/>
      <c r="AW41" s="45"/>
      <c r="AX41" s="44"/>
      <c r="AY41" s="44"/>
      <c r="AZ41" s="44"/>
      <c r="BA41" s="44"/>
      <c r="BB41" s="44"/>
      <c r="BC41" s="44"/>
      <c r="BD41" s="44"/>
      <c r="BE41" s="44">
        <v>5976111</v>
      </c>
      <c r="BF41" s="44"/>
      <c r="BG41" s="45">
        <f>SUM(AX41:BF41)</f>
        <v>5976111</v>
      </c>
      <c r="BH41" s="44"/>
      <c r="BI41" s="44"/>
      <c r="BJ41" s="44"/>
      <c r="BK41" s="45"/>
      <c r="BL41" s="122">
        <f>K41+U41+AB41+AH41+AO41+AW41+BG41+BK41</f>
        <v>5976111</v>
      </c>
    </row>
    <row r="42" spans="1:64" ht="18.75" x14ac:dyDescent="0.3">
      <c r="A42" s="123" t="s">
        <v>213</v>
      </c>
      <c r="B42" s="118"/>
      <c r="C42" s="119"/>
      <c r="D42" s="78"/>
      <c r="E42" s="78"/>
      <c r="F42" s="78"/>
      <c r="G42" s="78"/>
      <c r="H42" s="78"/>
      <c r="I42" s="78"/>
      <c r="J42" s="78"/>
      <c r="K42" s="120"/>
      <c r="L42" s="78"/>
      <c r="M42" s="78"/>
      <c r="N42" s="78"/>
      <c r="O42" s="78"/>
      <c r="P42" s="78"/>
      <c r="Q42" s="78"/>
      <c r="R42" s="78"/>
      <c r="S42" s="78"/>
      <c r="T42" s="78"/>
      <c r="U42" s="120"/>
      <c r="V42" s="78"/>
      <c r="W42" s="78"/>
      <c r="X42" s="78"/>
      <c r="Y42" s="78"/>
      <c r="Z42" s="78"/>
      <c r="AA42" s="78"/>
      <c r="AB42" s="120"/>
      <c r="AC42" s="78"/>
      <c r="AD42" s="78"/>
      <c r="AE42" s="78"/>
      <c r="AF42" s="78"/>
      <c r="AG42" s="78"/>
      <c r="AH42" s="120"/>
      <c r="AI42" s="78"/>
      <c r="AJ42" s="78"/>
      <c r="AK42" s="78"/>
      <c r="AL42" s="78"/>
      <c r="AM42" s="78"/>
      <c r="AN42" s="78"/>
      <c r="AO42" s="120"/>
      <c r="AP42" s="78"/>
      <c r="AQ42" s="78"/>
      <c r="AR42" s="78"/>
      <c r="AS42" s="78"/>
      <c r="AT42" s="78"/>
      <c r="AU42" s="78"/>
      <c r="AV42" s="78"/>
      <c r="AW42" s="120"/>
      <c r="AX42" s="78"/>
      <c r="AY42" s="78"/>
      <c r="AZ42" s="78"/>
      <c r="BA42" s="78"/>
      <c r="BB42" s="78"/>
      <c r="BC42" s="78"/>
      <c r="BD42" s="78"/>
      <c r="BE42" s="78"/>
      <c r="BF42" s="78"/>
      <c r="BG42" s="120"/>
      <c r="BH42" s="78"/>
      <c r="BI42" s="78"/>
      <c r="BJ42" s="78"/>
      <c r="BK42" s="120"/>
      <c r="BL42" s="117"/>
    </row>
    <row r="43" spans="1:64" x14ac:dyDescent="0.25">
      <c r="A43" s="27"/>
      <c r="B43" s="116">
        <v>2021</v>
      </c>
      <c r="C43" s="43"/>
      <c r="D43" s="44"/>
      <c r="E43" s="44">
        <v>1800122</v>
      </c>
      <c r="F43" s="44"/>
      <c r="G43" s="44"/>
      <c r="H43" s="44"/>
      <c r="I43" s="44"/>
      <c r="J43" s="44"/>
      <c r="K43" s="45">
        <f>SUM(C43:J43)</f>
        <v>1800122</v>
      </c>
      <c r="L43" s="44"/>
      <c r="M43" s="44"/>
      <c r="N43" s="44"/>
      <c r="O43" s="44"/>
      <c r="P43" s="44"/>
      <c r="Q43" s="44"/>
      <c r="R43" s="44"/>
      <c r="S43" s="44"/>
      <c r="T43" s="44"/>
      <c r="U43" s="45"/>
      <c r="V43" s="44">
        <v>672073</v>
      </c>
      <c r="W43" s="44"/>
      <c r="X43" s="44"/>
      <c r="Y43" s="44"/>
      <c r="Z43" s="44"/>
      <c r="AA43" s="44"/>
      <c r="AB43" s="45">
        <f>SUM(V43:AA43)</f>
        <v>672073</v>
      </c>
      <c r="AC43" s="44"/>
      <c r="AD43" s="44"/>
      <c r="AE43" s="44"/>
      <c r="AF43" s="44"/>
      <c r="AG43" s="44"/>
      <c r="AH43" s="45"/>
      <c r="AI43" s="44"/>
      <c r="AJ43" s="44"/>
      <c r="AK43" s="44"/>
      <c r="AL43" s="44"/>
      <c r="AM43" s="44"/>
      <c r="AN43" s="44"/>
      <c r="AO43" s="45"/>
      <c r="AP43" s="44"/>
      <c r="AQ43" s="44"/>
      <c r="AR43" s="44"/>
      <c r="AS43" s="44"/>
      <c r="AT43" s="44"/>
      <c r="AU43" s="44"/>
      <c r="AV43" s="44"/>
      <c r="AW43" s="45"/>
      <c r="AX43" s="44"/>
      <c r="AY43" s="44"/>
      <c r="AZ43" s="44">
        <v>2331562</v>
      </c>
      <c r="BA43" s="44"/>
      <c r="BB43" s="44"/>
      <c r="BC43" s="44"/>
      <c r="BD43" s="44"/>
      <c r="BE43" s="44"/>
      <c r="BF43" s="44">
        <v>285799</v>
      </c>
      <c r="BG43" s="45">
        <f>SUM(AX43:BF43)</f>
        <v>2617361</v>
      </c>
      <c r="BH43" s="44"/>
      <c r="BI43" s="44"/>
      <c r="BJ43" s="44"/>
      <c r="BK43" s="45"/>
      <c r="BL43" s="122">
        <f>K43+U43+AB43+AH43+AO43+AW43+BG43+BK43</f>
        <v>5089556</v>
      </c>
    </row>
    <row r="44" spans="1:64" x14ac:dyDescent="0.25">
      <c r="A44" s="11"/>
      <c r="B44" s="118">
        <v>2022</v>
      </c>
      <c r="C44" s="119"/>
      <c r="D44" s="78"/>
      <c r="E44" s="78">
        <v>1410307</v>
      </c>
      <c r="F44" s="78"/>
      <c r="G44" s="78"/>
      <c r="H44" s="78"/>
      <c r="I44" s="78"/>
      <c r="J44" s="78"/>
      <c r="K44" s="120">
        <f>SUM(C44:J44)</f>
        <v>1410307</v>
      </c>
      <c r="L44" s="78"/>
      <c r="M44" s="78"/>
      <c r="N44" s="78"/>
      <c r="O44" s="78"/>
      <c r="P44" s="78"/>
      <c r="Q44" s="78"/>
      <c r="R44" s="78"/>
      <c r="S44" s="78"/>
      <c r="T44" s="78"/>
      <c r="U44" s="120"/>
      <c r="V44" s="78">
        <v>650230</v>
      </c>
      <c r="W44" s="78"/>
      <c r="X44" s="78"/>
      <c r="Y44" s="78"/>
      <c r="Z44" s="78"/>
      <c r="AA44" s="78"/>
      <c r="AB44" s="120">
        <f>SUM(V44:AA44)</f>
        <v>650230</v>
      </c>
      <c r="AC44" s="78"/>
      <c r="AD44" s="78"/>
      <c r="AE44" s="78"/>
      <c r="AF44" s="78"/>
      <c r="AG44" s="78"/>
      <c r="AH44" s="120"/>
      <c r="AI44" s="78"/>
      <c r="AJ44" s="78"/>
      <c r="AK44" s="78"/>
      <c r="AL44" s="78"/>
      <c r="AM44" s="78"/>
      <c r="AN44" s="78"/>
      <c r="AO44" s="120"/>
      <c r="AP44" s="78"/>
      <c r="AQ44" s="78"/>
      <c r="AR44" s="78"/>
      <c r="AS44" s="78"/>
      <c r="AT44" s="78"/>
      <c r="AU44" s="78"/>
      <c r="AV44" s="78"/>
      <c r="AW44" s="120"/>
      <c r="AX44" s="78"/>
      <c r="AY44" s="78"/>
      <c r="AZ44" s="78">
        <v>2250064</v>
      </c>
      <c r="BA44" s="78"/>
      <c r="BB44" s="78"/>
      <c r="BC44" s="78"/>
      <c r="BD44" s="78"/>
      <c r="BE44" s="78"/>
      <c r="BF44" s="78">
        <v>225015</v>
      </c>
      <c r="BG44" s="120">
        <f>SUM(AX44:BF44)</f>
        <v>2475079</v>
      </c>
      <c r="BH44" s="78"/>
      <c r="BI44" s="78"/>
      <c r="BJ44" s="78"/>
      <c r="BK44" s="120"/>
      <c r="BL44" s="121">
        <f>K44+U44+AB44+AH44+AO44+AW44+BG44+BK44</f>
        <v>4535616</v>
      </c>
    </row>
    <row r="45" spans="1:64" x14ac:dyDescent="0.25">
      <c r="A45" s="28"/>
      <c r="B45" s="116">
        <v>2023</v>
      </c>
      <c r="C45" s="43"/>
      <c r="D45" s="44"/>
      <c r="E45" s="44">
        <v>2515383</v>
      </c>
      <c r="F45" s="44"/>
      <c r="G45" s="44"/>
      <c r="H45" s="44"/>
      <c r="I45" s="44"/>
      <c r="J45" s="44"/>
      <c r="K45" s="45">
        <f>SUM(C45:J45)</f>
        <v>2515383</v>
      </c>
      <c r="L45" s="44"/>
      <c r="M45" s="44"/>
      <c r="N45" s="44"/>
      <c r="O45" s="44"/>
      <c r="P45" s="44"/>
      <c r="Q45" s="44"/>
      <c r="R45" s="44"/>
      <c r="S45" s="44"/>
      <c r="T45" s="44"/>
      <c r="U45" s="45"/>
      <c r="V45" s="44">
        <v>1122686</v>
      </c>
      <c r="W45" s="44"/>
      <c r="X45" s="44"/>
      <c r="Y45" s="44"/>
      <c r="Z45" s="44"/>
      <c r="AA45" s="44"/>
      <c r="AB45" s="45">
        <f>SUM(V45:AA45)</f>
        <v>1122686</v>
      </c>
      <c r="AC45" s="44"/>
      <c r="AD45" s="44"/>
      <c r="AE45" s="44"/>
      <c r="AF45" s="44"/>
      <c r="AG45" s="44"/>
      <c r="AH45" s="45"/>
      <c r="AI45" s="44"/>
      <c r="AJ45" s="44"/>
      <c r="AK45" s="44"/>
      <c r="AL45" s="44"/>
      <c r="AM45" s="44"/>
      <c r="AN45" s="44"/>
      <c r="AO45" s="45"/>
      <c r="AP45" s="44"/>
      <c r="AQ45" s="44"/>
      <c r="AR45" s="44"/>
      <c r="AS45" s="44"/>
      <c r="AT45" s="44"/>
      <c r="AU45" s="44"/>
      <c r="AV45" s="44"/>
      <c r="AW45" s="45"/>
      <c r="AX45" s="44"/>
      <c r="AY45" s="44"/>
      <c r="AZ45" s="44">
        <v>3131292</v>
      </c>
      <c r="BA45" s="44"/>
      <c r="BB45" s="44"/>
      <c r="BC45" s="44"/>
      <c r="BD45" s="44"/>
      <c r="BE45" s="44"/>
      <c r="BF45" s="44">
        <v>403127</v>
      </c>
      <c r="BG45" s="45">
        <f>SUM(AX45:BF45)</f>
        <v>3534419</v>
      </c>
      <c r="BH45" s="44"/>
      <c r="BI45" s="44"/>
      <c r="BJ45" s="44"/>
      <c r="BK45" s="45"/>
      <c r="BL45" s="122">
        <f>K45+U45+AB45+AH45+AO45+AW45+BG45+BK45</f>
        <v>7172488</v>
      </c>
    </row>
    <row r="46" spans="1:64" x14ac:dyDescent="0.25">
      <c r="B46" s="118">
        <v>2024</v>
      </c>
      <c r="C46" s="119"/>
      <c r="D46" s="78"/>
      <c r="E46" s="78">
        <v>3473236</v>
      </c>
      <c r="F46" s="78"/>
      <c r="G46" s="78"/>
      <c r="H46" s="78"/>
      <c r="I46" s="78"/>
      <c r="J46" s="78"/>
      <c r="K46" s="120">
        <f>SUM(C46:J46)</f>
        <v>3473236</v>
      </c>
      <c r="L46" s="78"/>
      <c r="M46" s="78"/>
      <c r="N46" s="78"/>
      <c r="O46" s="78"/>
      <c r="P46" s="78"/>
      <c r="Q46" s="78"/>
      <c r="R46" s="78"/>
      <c r="S46" s="78"/>
      <c r="T46" s="78"/>
      <c r="U46" s="120"/>
      <c r="V46" s="78">
        <v>2973985</v>
      </c>
      <c r="W46" s="78"/>
      <c r="X46" s="78"/>
      <c r="Y46" s="78"/>
      <c r="Z46" s="78"/>
      <c r="AA46" s="78"/>
      <c r="AB46" s="120">
        <f>SUM(V46:AA46)</f>
        <v>2973985</v>
      </c>
      <c r="AC46" s="78"/>
      <c r="AD46" s="78"/>
      <c r="AE46" s="78"/>
      <c r="AF46" s="78"/>
      <c r="AG46" s="78"/>
      <c r="AH46" s="120"/>
      <c r="AI46" s="78"/>
      <c r="AJ46" s="78"/>
      <c r="AK46" s="78"/>
      <c r="AL46" s="78"/>
      <c r="AM46" s="78"/>
      <c r="AN46" s="78"/>
      <c r="AO46" s="120"/>
      <c r="AP46" s="78"/>
      <c r="AQ46" s="78"/>
      <c r="AR46" s="78"/>
      <c r="AS46" s="78"/>
      <c r="AT46" s="78"/>
      <c r="AU46" s="78"/>
      <c r="AV46" s="78"/>
      <c r="AW46" s="120"/>
      <c r="AX46" s="78"/>
      <c r="AY46" s="78"/>
      <c r="AZ46" s="78">
        <v>4687053</v>
      </c>
      <c r="BA46" s="78"/>
      <c r="BB46" s="78"/>
      <c r="BC46" s="78"/>
      <c r="BD46" s="78"/>
      <c r="BE46" s="78"/>
      <c r="BF46" s="78">
        <v>552221</v>
      </c>
      <c r="BG46" s="120">
        <f>SUM(AX46:BF46)</f>
        <v>5239274</v>
      </c>
      <c r="BH46" s="78"/>
      <c r="BI46" s="78"/>
      <c r="BJ46" s="78"/>
      <c r="BK46" s="120"/>
      <c r="BL46" s="121">
        <f>K46+U46+AB46+AH46+AO46+AW46+BG46+BK46</f>
        <v>11686495</v>
      </c>
    </row>
    <row r="47" spans="1:64" x14ac:dyDescent="0.25">
      <c r="A47" s="27"/>
      <c r="B47" s="116"/>
      <c r="C47" s="43"/>
      <c r="D47" s="44"/>
      <c r="E47" s="44"/>
      <c r="F47" s="44"/>
      <c r="G47" s="44"/>
      <c r="H47" s="44"/>
      <c r="I47" s="44"/>
      <c r="J47" s="44"/>
      <c r="K47" s="45"/>
      <c r="L47" s="44"/>
      <c r="M47" s="44"/>
      <c r="N47" s="44"/>
      <c r="O47" s="44"/>
      <c r="P47" s="44"/>
      <c r="Q47" s="44"/>
      <c r="R47" s="44"/>
      <c r="S47" s="44"/>
      <c r="T47" s="44"/>
      <c r="U47" s="45"/>
      <c r="V47" s="44"/>
      <c r="W47" s="44"/>
      <c r="X47" s="44"/>
      <c r="Y47" s="44"/>
      <c r="Z47" s="44"/>
      <c r="AA47" s="44"/>
      <c r="AB47" s="45"/>
      <c r="AC47" s="44"/>
      <c r="AD47" s="44"/>
      <c r="AE47" s="44"/>
      <c r="AF47" s="44"/>
      <c r="AG47" s="44"/>
      <c r="AH47" s="45"/>
      <c r="AI47" s="44"/>
      <c r="AJ47" s="44"/>
      <c r="AK47" s="44"/>
      <c r="AL47" s="44"/>
      <c r="AM47" s="44"/>
      <c r="AN47" s="44"/>
      <c r="AO47" s="45"/>
      <c r="AP47" s="44"/>
      <c r="AQ47" s="44"/>
      <c r="AR47" s="44"/>
      <c r="AS47" s="44"/>
      <c r="AT47" s="44"/>
      <c r="AU47" s="44"/>
      <c r="AV47" s="44"/>
      <c r="AW47" s="45"/>
      <c r="AX47" s="44"/>
      <c r="AY47" s="44"/>
      <c r="AZ47" s="44"/>
      <c r="BA47" s="44"/>
      <c r="BB47" s="44"/>
      <c r="BC47" s="44"/>
      <c r="BD47" s="44"/>
      <c r="BE47" s="44"/>
      <c r="BF47" s="44"/>
      <c r="BG47" s="45"/>
      <c r="BH47" s="44"/>
      <c r="BI47" s="44"/>
      <c r="BJ47" s="44"/>
      <c r="BK47" s="45"/>
      <c r="BL47" s="122"/>
    </row>
    <row r="48" spans="1:64" x14ac:dyDescent="0.25">
      <c r="A48" s="11"/>
      <c r="B48" s="118"/>
      <c r="C48" s="119"/>
      <c r="D48" s="78"/>
      <c r="E48" s="78"/>
      <c r="F48" s="78"/>
      <c r="G48" s="78"/>
      <c r="H48" s="78"/>
      <c r="I48" s="78"/>
      <c r="J48" s="78"/>
      <c r="K48" s="120"/>
      <c r="L48" s="78"/>
      <c r="M48" s="78"/>
      <c r="N48" s="78"/>
      <c r="O48" s="78"/>
      <c r="P48" s="78"/>
      <c r="Q48" s="78"/>
      <c r="R48" s="78"/>
      <c r="S48" s="78"/>
      <c r="T48" s="78"/>
      <c r="U48" s="120"/>
      <c r="V48" s="78"/>
      <c r="W48" s="78"/>
      <c r="X48" s="78"/>
      <c r="Y48" s="78"/>
      <c r="Z48" s="78"/>
      <c r="AA48" s="78"/>
      <c r="AB48" s="120"/>
      <c r="AC48" s="78"/>
      <c r="AD48" s="78"/>
      <c r="AE48" s="78"/>
      <c r="AF48" s="78"/>
      <c r="AG48" s="78"/>
      <c r="AH48" s="120"/>
      <c r="AI48" s="78"/>
      <c r="AJ48" s="78"/>
      <c r="AK48" s="78"/>
      <c r="AL48" s="78"/>
      <c r="AM48" s="78"/>
      <c r="AN48" s="78"/>
      <c r="AO48" s="120"/>
      <c r="AP48" s="78"/>
      <c r="AQ48" s="78"/>
      <c r="AR48" s="78"/>
      <c r="AS48" s="78"/>
      <c r="AT48" s="78"/>
      <c r="AU48" s="78"/>
      <c r="AV48" s="78"/>
      <c r="AW48" s="120"/>
      <c r="AX48" s="78"/>
      <c r="AY48" s="78"/>
      <c r="AZ48" s="78"/>
      <c r="BA48" s="78"/>
      <c r="BB48" s="78"/>
      <c r="BC48" s="78"/>
      <c r="BD48" s="78"/>
      <c r="BE48" s="78"/>
      <c r="BF48" s="78"/>
      <c r="BG48" s="120"/>
      <c r="BH48" s="78"/>
      <c r="BI48" s="78"/>
      <c r="BJ48" s="78"/>
      <c r="BK48" s="120"/>
      <c r="BL48" s="117"/>
    </row>
    <row r="49" spans="1:64" x14ac:dyDescent="0.25">
      <c r="A49" s="28"/>
      <c r="B49" s="116"/>
      <c r="C49" s="43"/>
      <c r="D49" s="44"/>
      <c r="E49" s="44"/>
      <c r="F49" s="44"/>
      <c r="G49" s="44"/>
      <c r="H49" s="44"/>
      <c r="I49" s="44"/>
      <c r="J49" s="44"/>
      <c r="K49" s="45"/>
      <c r="L49" s="44"/>
      <c r="M49" s="44"/>
      <c r="N49" s="44"/>
      <c r="O49" s="44"/>
      <c r="P49" s="44"/>
      <c r="Q49" s="44"/>
      <c r="R49" s="44"/>
      <c r="S49" s="44"/>
      <c r="T49" s="44"/>
      <c r="U49" s="45"/>
      <c r="V49" s="44"/>
      <c r="W49" s="44"/>
      <c r="X49" s="44"/>
      <c r="Y49" s="44"/>
      <c r="Z49" s="44"/>
      <c r="AA49" s="44"/>
      <c r="AB49" s="45"/>
      <c r="AC49" s="44"/>
      <c r="AD49" s="44"/>
      <c r="AE49" s="44"/>
      <c r="AF49" s="44"/>
      <c r="AG49" s="44"/>
      <c r="AH49" s="45"/>
      <c r="AI49" s="44"/>
      <c r="AJ49" s="44"/>
      <c r="AK49" s="44"/>
      <c r="AL49" s="44"/>
      <c r="AM49" s="44"/>
      <c r="AN49" s="44"/>
      <c r="AO49" s="45"/>
      <c r="AP49" s="44"/>
      <c r="AQ49" s="44"/>
      <c r="AR49" s="44"/>
      <c r="AS49" s="44"/>
      <c r="AT49" s="44"/>
      <c r="AU49" s="44"/>
      <c r="AV49" s="44"/>
      <c r="AW49" s="45"/>
      <c r="AX49" s="44"/>
      <c r="AY49" s="44"/>
      <c r="AZ49" s="44"/>
      <c r="BA49" s="44"/>
      <c r="BB49" s="44"/>
      <c r="BC49" s="44"/>
      <c r="BD49" s="44"/>
      <c r="BE49" s="44"/>
      <c r="BF49" s="44"/>
      <c r="BG49" s="45"/>
      <c r="BH49" s="44"/>
      <c r="BI49" s="44"/>
      <c r="BJ49" s="44"/>
      <c r="BK49" s="45"/>
      <c r="BL49" s="124"/>
    </row>
    <row r="50" spans="1:64" x14ac:dyDescent="0.25">
      <c r="B50" s="118"/>
      <c r="C50" s="119"/>
      <c r="D50" s="78"/>
      <c r="E50" s="78"/>
      <c r="F50" s="78"/>
      <c r="G50" s="78"/>
      <c r="H50" s="78"/>
      <c r="I50" s="78"/>
      <c r="J50" s="78"/>
      <c r="K50" s="120"/>
      <c r="L50" s="78"/>
      <c r="M50" s="78"/>
      <c r="N50" s="78"/>
      <c r="O50" s="78"/>
      <c r="P50" s="78"/>
      <c r="Q50" s="78"/>
      <c r="R50" s="78"/>
      <c r="S50" s="78"/>
      <c r="T50" s="78"/>
      <c r="U50" s="120"/>
      <c r="V50" s="78"/>
      <c r="W50" s="78"/>
      <c r="X50" s="78"/>
      <c r="Y50" s="78"/>
      <c r="Z50" s="78"/>
      <c r="AA50" s="78"/>
      <c r="AB50" s="120"/>
      <c r="AC50" s="78"/>
      <c r="AD50" s="78"/>
      <c r="AE50" s="78"/>
      <c r="AF50" s="78"/>
      <c r="AG50" s="78"/>
      <c r="AH50" s="120"/>
      <c r="AI50" s="78"/>
      <c r="AJ50" s="78"/>
      <c r="AK50" s="78"/>
      <c r="AL50" s="78"/>
      <c r="AM50" s="78"/>
      <c r="AN50" s="78"/>
      <c r="AO50" s="120"/>
      <c r="AP50" s="78"/>
      <c r="AQ50" s="78"/>
      <c r="AR50" s="78"/>
      <c r="AS50" s="78"/>
      <c r="AT50" s="78"/>
      <c r="AU50" s="78"/>
      <c r="AV50" s="78"/>
      <c r="AW50" s="120"/>
      <c r="AX50" s="78"/>
      <c r="AY50" s="78"/>
      <c r="AZ50" s="78"/>
      <c r="BA50" s="78"/>
      <c r="BB50" s="78"/>
      <c r="BC50" s="78"/>
      <c r="BD50" s="78"/>
      <c r="BE50" s="78"/>
      <c r="BF50" s="78"/>
      <c r="BG50" s="120"/>
      <c r="BH50" s="78"/>
      <c r="BI50" s="78"/>
      <c r="BJ50" s="78"/>
      <c r="BK50" s="120"/>
      <c r="BL50" s="117"/>
    </row>
    <row r="51" spans="1:64" x14ac:dyDescent="0.25">
      <c r="A51" s="27"/>
      <c r="B51" s="116"/>
      <c r="C51" s="43"/>
      <c r="D51" s="44"/>
      <c r="E51" s="44"/>
      <c r="F51" s="44"/>
      <c r="G51" s="44"/>
      <c r="H51" s="44"/>
      <c r="I51" s="44"/>
      <c r="J51" s="44"/>
      <c r="K51" s="45"/>
      <c r="L51" s="44"/>
      <c r="M51" s="44"/>
      <c r="N51" s="44"/>
      <c r="O51" s="44"/>
      <c r="P51" s="44"/>
      <c r="Q51" s="44"/>
      <c r="R51" s="44"/>
      <c r="S51" s="44"/>
      <c r="T51" s="44"/>
      <c r="U51" s="45"/>
      <c r="V51" s="44"/>
      <c r="W51" s="44"/>
      <c r="X51" s="44"/>
      <c r="Y51" s="44"/>
      <c r="Z51" s="44"/>
      <c r="AA51" s="44"/>
      <c r="AB51" s="45"/>
      <c r="AC51" s="44"/>
      <c r="AD51" s="44"/>
      <c r="AE51" s="44"/>
      <c r="AF51" s="44"/>
      <c r="AG51" s="44"/>
      <c r="AH51" s="45"/>
      <c r="AI51" s="44"/>
      <c r="AJ51" s="44"/>
      <c r="AK51" s="44"/>
      <c r="AL51" s="44"/>
      <c r="AM51" s="44"/>
      <c r="AN51" s="44"/>
      <c r="AO51" s="45"/>
      <c r="AP51" s="44"/>
      <c r="AQ51" s="44"/>
      <c r="AR51" s="44"/>
      <c r="AS51" s="44"/>
      <c r="AT51" s="44"/>
      <c r="AU51" s="44"/>
      <c r="AV51" s="44"/>
      <c r="AW51" s="45"/>
      <c r="AX51" s="44"/>
      <c r="AY51" s="44"/>
      <c r="AZ51" s="44"/>
      <c r="BA51" s="44"/>
      <c r="BB51" s="44"/>
      <c r="BC51" s="44"/>
      <c r="BD51" s="44"/>
      <c r="BE51" s="44"/>
      <c r="BF51" s="44"/>
      <c r="BG51" s="45"/>
      <c r="BH51" s="44"/>
      <c r="BI51" s="44"/>
      <c r="BJ51" s="44"/>
      <c r="BK51" s="45"/>
      <c r="BL51" s="122"/>
    </row>
    <row r="52" spans="1:64" x14ac:dyDescent="0.25">
      <c r="BF52"/>
    </row>
    <row r="53" spans="1:64" x14ac:dyDescent="0.25">
      <c r="BF53"/>
      <c r="BL53" s="125"/>
    </row>
    <row r="54" spans="1:64" x14ac:dyDescent="0.25">
      <c r="BF54"/>
    </row>
    <row r="55" spans="1:64" x14ac:dyDescent="0.25">
      <c r="BF55"/>
    </row>
    <row r="56" spans="1:64" x14ac:dyDescent="0.25">
      <c r="BF56"/>
    </row>
    <row r="57" spans="1:64" x14ac:dyDescent="0.25">
      <c r="BF57"/>
    </row>
    <row r="58" spans="1:64" x14ac:dyDescent="0.25">
      <c r="BF58"/>
    </row>
    <row r="59" spans="1:64" x14ac:dyDescent="0.25">
      <c r="BF59"/>
    </row>
    <row r="60" spans="1:64" x14ac:dyDescent="0.25">
      <c r="BF60"/>
    </row>
    <row r="61" spans="1:64" x14ac:dyDescent="0.25">
      <c r="BF61"/>
    </row>
    <row r="62" spans="1:64" x14ac:dyDescent="0.25">
      <c r="BF62"/>
    </row>
    <row r="63" spans="1:64" x14ac:dyDescent="0.25">
      <c r="BF63"/>
    </row>
    <row r="64" spans="1:64" x14ac:dyDescent="0.25">
      <c r="BF64"/>
    </row>
    <row r="65" spans="58:58" x14ac:dyDescent="0.25">
      <c r="BF65"/>
    </row>
    <row r="66" spans="58:58" x14ac:dyDescent="0.25">
      <c r="BF66"/>
    </row>
    <row r="67" spans="58:58" x14ac:dyDescent="0.25">
      <c r="BF67"/>
    </row>
    <row r="68" spans="58:58" x14ac:dyDescent="0.25">
      <c r="BF68"/>
    </row>
    <row r="69" spans="58:58" x14ac:dyDescent="0.25">
      <c r="BF69"/>
    </row>
    <row r="70" spans="58:58" x14ac:dyDescent="0.25">
      <c r="BF70"/>
    </row>
    <row r="71" spans="58:58" x14ac:dyDescent="0.25">
      <c r="BF71"/>
    </row>
    <row r="72" spans="58:58" x14ac:dyDescent="0.25">
      <c r="BF72"/>
    </row>
    <row r="73" spans="58:58" x14ac:dyDescent="0.25">
      <c r="BF73"/>
    </row>
    <row r="74" spans="58:58" x14ac:dyDescent="0.25">
      <c r="BF74"/>
    </row>
    <row r="75" spans="58:58" x14ac:dyDescent="0.25">
      <c r="BF75"/>
    </row>
    <row r="76" spans="58:58" x14ac:dyDescent="0.25">
      <c r="BF76"/>
    </row>
    <row r="77" spans="58:58" x14ac:dyDescent="0.25">
      <c r="BF77"/>
    </row>
    <row r="78" spans="58:58" x14ac:dyDescent="0.25">
      <c r="BF78"/>
    </row>
    <row r="79" spans="58:58" x14ac:dyDescent="0.25">
      <c r="BF79"/>
    </row>
    <row r="80" spans="58:58" x14ac:dyDescent="0.25">
      <c r="BF80"/>
    </row>
    <row r="81" spans="58:58" x14ac:dyDescent="0.25">
      <c r="BF81"/>
    </row>
    <row r="82" spans="58:58" x14ac:dyDescent="0.25">
      <c r="BF82"/>
    </row>
    <row r="83" spans="58:58" x14ac:dyDescent="0.25">
      <c r="BF83"/>
    </row>
    <row r="84" spans="58:58" x14ac:dyDescent="0.25">
      <c r="BF84"/>
    </row>
    <row r="85" spans="58:58" x14ac:dyDescent="0.25">
      <c r="BF85"/>
    </row>
    <row r="86" spans="58:58" x14ac:dyDescent="0.25">
      <c r="BF86"/>
    </row>
    <row r="87" spans="58:58" x14ac:dyDescent="0.25">
      <c r="BF87"/>
    </row>
    <row r="88" spans="58:58" x14ac:dyDescent="0.25">
      <c r="BF88"/>
    </row>
    <row r="89" spans="58:58" x14ac:dyDescent="0.25">
      <c r="BF89"/>
    </row>
    <row r="90" spans="58:58" x14ac:dyDescent="0.25">
      <c r="BF90"/>
    </row>
    <row r="91" spans="58:58" x14ac:dyDescent="0.25">
      <c r="BF91"/>
    </row>
    <row r="92" spans="58:58" x14ac:dyDescent="0.25">
      <c r="BF92"/>
    </row>
    <row r="93" spans="58:58" x14ac:dyDescent="0.25">
      <c r="BF93"/>
    </row>
    <row r="94" spans="58:58" x14ac:dyDescent="0.25">
      <c r="BF94"/>
    </row>
    <row r="95" spans="58:58" x14ac:dyDescent="0.25">
      <c r="BF95"/>
    </row>
    <row r="96" spans="58:58" x14ac:dyDescent="0.25">
      <c r="BF96"/>
    </row>
    <row r="97" spans="58:58" x14ac:dyDescent="0.25">
      <c r="BF97"/>
    </row>
    <row r="98" spans="58:58" x14ac:dyDescent="0.25">
      <c r="BF98"/>
    </row>
    <row r="99" spans="58:58" x14ac:dyDescent="0.25">
      <c r="BF99"/>
    </row>
    <row r="100" spans="58:58" x14ac:dyDescent="0.25">
      <c r="BF100"/>
    </row>
    <row r="101" spans="58:58" x14ac:dyDescent="0.25">
      <c r="BF101"/>
    </row>
    <row r="102" spans="58:58" x14ac:dyDescent="0.25">
      <c r="BF102"/>
    </row>
    <row r="103" spans="58:58" x14ac:dyDescent="0.25">
      <c r="BF103"/>
    </row>
    <row r="104" spans="58:58" x14ac:dyDescent="0.25">
      <c r="BF104"/>
    </row>
    <row r="105" spans="58:58" x14ac:dyDescent="0.25">
      <c r="BF105"/>
    </row>
    <row r="106" spans="58:58" x14ac:dyDescent="0.25">
      <c r="BF106"/>
    </row>
    <row r="107" spans="58:58" x14ac:dyDescent="0.25">
      <c r="BF107"/>
    </row>
    <row r="108" spans="58:58" x14ac:dyDescent="0.25">
      <c r="BF108"/>
    </row>
    <row r="109" spans="58:58" x14ac:dyDescent="0.25">
      <c r="BF109"/>
    </row>
    <row r="110" spans="58:58" x14ac:dyDescent="0.25">
      <c r="BF110"/>
    </row>
    <row r="111" spans="58:58" x14ac:dyDescent="0.25">
      <c r="BF111"/>
    </row>
    <row r="112" spans="58:58" x14ac:dyDescent="0.25">
      <c r="BF112"/>
    </row>
    <row r="113" spans="58:58" x14ac:dyDescent="0.25">
      <c r="BF113"/>
    </row>
    <row r="114" spans="58:58" x14ac:dyDescent="0.25">
      <c r="BF114"/>
    </row>
    <row r="115" spans="58:58" x14ac:dyDescent="0.25">
      <c r="BF115"/>
    </row>
    <row r="116" spans="58:58" x14ac:dyDescent="0.25">
      <c r="BF116"/>
    </row>
    <row r="117" spans="58:58" x14ac:dyDescent="0.25">
      <c r="BF117"/>
    </row>
    <row r="118" spans="58:58" x14ac:dyDescent="0.25">
      <c r="BF118"/>
    </row>
    <row r="119" spans="58:58" x14ac:dyDescent="0.25">
      <c r="BF119"/>
    </row>
    <row r="120" spans="58:58" x14ac:dyDescent="0.25">
      <c r="BF120"/>
    </row>
    <row r="121" spans="58:58" x14ac:dyDescent="0.25">
      <c r="BF121"/>
    </row>
    <row r="122" spans="58:58" x14ac:dyDescent="0.25">
      <c r="BF122"/>
    </row>
    <row r="123" spans="58:58" x14ac:dyDescent="0.25">
      <c r="BF123"/>
    </row>
    <row r="124" spans="58:58" x14ac:dyDescent="0.25">
      <c r="BF124"/>
    </row>
    <row r="125" spans="58:58" x14ac:dyDescent="0.25">
      <c r="BF125"/>
    </row>
    <row r="126" spans="58:58" x14ac:dyDescent="0.25">
      <c r="BF126"/>
    </row>
    <row r="127" spans="58:58" x14ac:dyDescent="0.25">
      <c r="BF127"/>
    </row>
    <row r="128" spans="58:58" x14ac:dyDescent="0.25">
      <c r="BF128"/>
    </row>
    <row r="129" spans="58:58" x14ac:dyDescent="0.25">
      <c r="BF129"/>
    </row>
    <row r="130" spans="58:58" x14ac:dyDescent="0.25">
      <c r="BF130"/>
    </row>
    <row r="131" spans="58:58" x14ac:dyDescent="0.25">
      <c r="BF131"/>
    </row>
    <row r="132" spans="58:58" x14ac:dyDescent="0.25">
      <c r="BF132"/>
    </row>
    <row r="133" spans="58:58" x14ac:dyDescent="0.25">
      <c r="BF133"/>
    </row>
    <row r="134" spans="58:58" x14ac:dyDescent="0.25">
      <c r="BF134"/>
    </row>
    <row r="135" spans="58:58" x14ac:dyDescent="0.25">
      <c r="BF135"/>
    </row>
    <row r="136" spans="58:58" x14ac:dyDescent="0.25">
      <c r="BF136"/>
    </row>
    <row r="137" spans="58:58" x14ac:dyDescent="0.25">
      <c r="BF137"/>
    </row>
    <row r="138" spans="58:58" x14ac:dyDescent="0.25">
      <c r="BF138"/>
    </row>
    <row r="139" spans="58:58" x14ac:dyDescent="0.25">
      <c r="BF139"/>
    </row>
    <row r="140" spans="58:58" x14ac:dyDescent="0.25">
      <c r="BF140"/>
    </row>
    <row r="141" spans="58:58" x14ac:dyDescent="0.25">
      <c r="BF141"/>
    </row>
    <row r="142" spans="58:58" x14ac:dyDescent="0.25">
      <c r="BF142"/>
    </row>
    <row r="143" spans="58:58" x14ac:dyDescent="0.25">
      <c r="BF143"/>
    </row>
    <row r="144" spans="58:58" x14ac:dyDescent="0.25">
      <c r="BF144"/>
    </row>
    <row r="145" spans="58:58" x14ac:dyDescent="0.25">
      <c r="BF145"/>
    </row>
    <row r="146" spans="58:58" x14ac:dyDescent="0.25">
      <c r="BF146"/>
    </row>
    <row r="147" spans="58:58" x14ac:dyDescent="0.25">
      <c r="BF147"/>
    </row>
    <row r="148" spans="58:58" x14ac:dyDescent="0.25">
      <c r="BF148"/>
    </row>
    <row r="149" spans="58:58" x14ac:dyDescent="0.25">
      <c r="BF149"/>
    </row>
    <row r="150" spans="58:58" x14ac:dyDescent="0.25">
      <c r="BF150"/>
    </row>
    <row r="151" spans="58:58" x14ac:dyDescent="0.25">
      <c r="BF151"/>
    </row>
    <row r="152" spans="58:58" x14ac:dyDescent="0.25">
      <c r="BF152"/>
    </row>
    <row r="153" spans="58:58" x14ac:dyDescent="0.25">
      <c r="BF153"/>
    </row>
    <row r="154" spans="58:58" x14ac:dyDescent="0.25">
      <c r="BF154"/>
    </row>
    <row r="155" spans="58:58" x14ac:dyDescent="0.25">
      <c r="BF155"/>
    </row>
    <row r="156" spans="58:58" x14ac:dyDescent="0.25">
      <c r="BF156"/>
    </row>
    <row r="157" spans="58:58" x14ac:dyDescent="0.25">
      <c r="BF157"/>
    </row>
    <row r="158" spans="58:58" x14ac:dyDescent="0.25">
      <c r="BF158"/>
    </row>
    <row r="159" spans="58:58" x14ac:dyDescent="0.25">
      <c r="BF159"/>
    </row>
    <row r="160" spans="58:58" x14ac:dyDescent="0.25">
      <c r="BF160"/>
    </row>
    <row r="161" spans="58:58" x14ac:dyDescent="0.25">
      <c r="BF161"/>
    </row>
  </sheetData>
  <mergeCells count="18">
    <mergeCell ref="AP4:AW4"/>
    <mergeCell ref="AX4:BG4"/>
    <mergeCell ref="BH4:BI4"/>
    <mergeCell ref="C2:AB2"/>
    <mergeCell ref="C3:K3"/>
    <mergeCell ref="L3:U3"/>
    <mergeCell ref="V3:AB3"/>
    <mergeCell ref="AC3:AH3"/>
    <mergeCell ref="C4:K4"/>
    <mergeCell ref="L4:U4"/>
    <mergeCell ref="V4:AB4"/>
    <mergeCell ref="AC4:AH4"/>
    <mergeCell ref="AI4:AO4"/>
    <mergeCell ref="A1:B1"/>
    <mergeCell ref="AI3:AO3"/>
    <mergeCell ref="AP3:AW3"/>
    <mergeCell ref="AX3:BG3"/>
    <mergeCell ref="BH3:BK3"/>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dlc_DocId xmlns="59fdb89c-cee2-4b48-96df-b15ce216ef59">2S2HVZY65J2H-226009090-294225</_dlc_DocId>
    <lcf76f155ced4ddcb4097134ff3c332f xmlns="24c3344d-e4ac-461a-8c80-0c4d62c02695">
      <Terms xmlns="http://schemas.microsoft.com/office/infopath/2007/PartnerControls"/>
    </lcf76f155ced4ddcb4097134ff3c332f>
    <TaxCatchAll xmlns="59fdb89c-cee2-4b48-96df-b15ce216ef59" xsi:nil="true"/>
    <_dlc_DocIdUrl xmlns="59fdb89c-cee2-4b48-96df-b15ce216ef59">
      <Url>https://sddlaspbs.sharepoint.com/sites/OPBEOG-MajorIssues/_layouts/15/DocIdRedir.aspx?ID=2S2HVZY65J2H-226009090-294225</Url>
      <Description>2S2HVZY65J2H-226009090-294225</Description>
    </_dlc_DocIdUrl>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2F4AD1F23EB91B4DA00382D8D52959B1" ma:contentTypeVersion="13" ma:contentTypeDescription="Create a new document." ma:contentTypeScope="" ma:versionID="b8b93e1413cdd013ecae60b7026cd7e9">
  <xsd:schema xmlns:xsd="http://www.w3.org/2001/XMLSchema" xmlns:xs="http://www.w3.org/2001/XMLSchema" xmlns:p="http://schemas.microsoft.com/office/2006/metadata/properties" xmlns:ns2="59fdb89c-cee2-4b48-96df-b15ce216ef59" xmlns:ns3="24c3344d-e4ac-461a-8c80-0c4d62c02695" targetNamespace="http://schemas.microsoft.com/office/2006/metadata/properties" ma:root="true" ma:fieldsID="d08d118f1d4553d53b7debcf5f369231" ns2:_="" ns3:_="">
    <xsd:import namespace="59fdb89c-cee2-4b48-96df-b15ce216ef59"/>
    <xsd:import namespace="24c3344d-e4ac-461a-8c80-0c4d62c02695"/>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DateTaken" minOccurs="0"/>
                <xsd:element ref="ns3:MediaServiceObjectDetectorVersions"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9fdb89c-cee2-4b48-96df-b15ce216ef59"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1" nillable="true" ma:displayName="Taxonomy Catch All Column" ma:hidden="true" ma:list="{44b50998-9b89-4318-900e-1a4384500798}" ma:internalName="TaxCatchAll" ma:showField="CatchAllData" ma:web="59fdb89c-cee2-4b48-96df-b15ce216ef59">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4c3344d-e4ac-461a-8c80-0c4d62c02695"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8dc1797f-8aae-4df9-8cac-69618e12fc80"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9DB81A41-23FD-4B0D-B236-EA8C5CB30652}">
  <ds:schemaRefs>
    <ds:schemaRef ds:uri="http://schemas.microsoft.com/sharepoint/v3/contenttype/forms"/>
  </ds:schemaRefs>
</ds:datastoreItem>
</file>

<file path=customXml/itemProps2.xml><?xml version="1.0" encoding="utf-8"?>
<ds:datastoreItem xmlns:ds="http://schemas.openxmlformats.org/officeDocument/2006/customXml" ds:itemID="{2409A420-75BB-4E60-94FB-F492E16307CF}">
  <ds:schemaRefs>
    <ds:schemaRef ds:uri="http://schemas.microsoft.com/office/2006/metadata/properties"/>
    <ds:schemaRef ds:uri="http://schemas.microsoft.com/office/infopath/2007/PartnerControls"/>
    <ds:schemaRef ds:uri="59fdb89c-cee2-4b48-96df-b15ce216ef59"/>
    <ds:schemaRef ds:uri="24c3344d-e4ac-461a-8c80-0c4d62c02695"/>
  </ds:schemaRefs>
</ds:datastoreItem>
</file>

<file path=customXml/itemProps3.xml><?xml version="1.0" encoding="utf-8"?>
<ds:datastoreItem xmlns:ds="http://schemas.openxmlformats.org/officeDocument/2006/customXml" ds:itemID="{31983335-535B-41CE-9BD9-B26FFD06892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9fdb89c-cee2-4b48-96df-b15ce216ef59"/>
    <ds:schemaRef ds:uri="24c3344d-e4ac-461a-8c80-0c4d62c0269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F6DBE969-CE6F-4223-B162-167B3F4BCB2D}">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Question 1</vt:lpstr>
      <vt:lpstr>Question 2</vt:lpstr>
      <vt:lpstr>Question 3 (if needed)</vt:lpstr>
      <vt:lpstr>Question 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2025-07-11T17:21:50Z</dcterms:created>
  <dcterms:modified xsi:type="dcterms:W3CDTF">2025-07-21T19:18:31Z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0x0101002F4AD1F23EB91B4DA00382D8D52959B1</vt:lpwstr>
  </property>
  <property fmtid="{D5CDD505-2E9C-101B-9397-08002B2CF9AE}" pid="4" name="_dlc_DocIdItemGuid">
    <vt:lpwstr>75537139-140a-4d3b-bab9-e6ed44462d95</vt:lpwstr>
  </property>
</Properties>
</file>